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5" yWindow="45" windowWidth="11970" windowHeight="6120" tabRatio="912"/>
  </bookViews>
  <sheets>
    <sheet name="cover" sheetId="1" r:id="rId1"/>
    <sheet name="munadm" sheetId="2" r:id="rId2"/>
    <sheet name="munbld" sheetId="3" r:id="rId3"/>
    <sheet name="munavs" sheetId="32" r:id="rId4"/>
    <sheet name="munfac" sheetId="21" r:id="rId5"/>
    <sheet name="munrep" sheetId="35" r:id="rId6"/>
    <sheet name="muncus" sheetId="34" r:id="rId7"/>
    <sheet name="munest" sheetId="10" r:id="rId8"/>
    <sheet name="munlan" sheetId="4" r:id="rId9"/>
    <sheet name="muncra" sheetId="5" r:id="rId10"/>
    <sheet name="mun72f" sheetId="7" r:id="rId11"/>
    <sheet name="MUNMAA" sheetId="33" state="hidden" r:id="rId12"/>
    <sheet name="mun99F" sheetId="31" r:id="rId13"/>
    <sheet name="muntec" sheetId="20" r:id="rId14"/>
    <sheet name="munpub" sheetId="18" r:id="rId15"/>
    <sheet name="MSLI" sheetId="6" r:id="rId16"/>
    <sheet name="MURFS" sheetId="16" r:id="rId17"/>
  </sheets>
  <definedNames>
    <definedName name="_xlnm.Print_Area" localSheetId="0">cover!$A$1:$K$66</definedName>
    <definedName name="_xlnm.Print_Area" localSheetId="15">MSLI!$A$1:$K$384</definedName>
    <definedName name="_xlnm.Print_Area" localSheetId="2">munbld!$A$1:$K$38</definedName>
    <definedName name="_xlnm.Print_Area" localSheetId="4">munfac!$A$1:$M$44</definedName>
    <definedName name="_xlnm.Print_Area" localSheetId="14">munpub!$A$1:$K$40</definedName>
    <definedName name="_xlnm.Print_Area" localSheetId="5">munrep!$A$1:$K$32</definedName>
    <definedName name="_xlnm.Print_Area" localSheetId="16">MURFS!$A$1:$L$54</definedName>
  </definedNames>
  <calcPr calcId="145621"/>
</workbook>
</file>

<file path=xl/calcChain.xml><?xml version="1.0" encoding="utf-8"?>
<calcChain xmlns="http://schemas.openxmlformats.org/spreadsheetml/2006/main">
  <c r="I8" i="18" l="1"/>
  <c r="I102" i="6" l="1"/>
  <c r="I97" i="6" l="1"/>
  <c r="I22" i="18" l="1"/>
  <c r="N37" i="18"/>
  <c r="I17" i="18"/>
  <c r="N35" i="18"/>
  <c r="I160" i="6" l="1"/>
  <c r="I94" i="6" l="1"/>
  <c r="I101" i="6"/>
  <c r="I314" i="6" l="1"/>
  <c r="G8" i="20" l="1"/>
  <c r="I8" i="20"/>
  <c r="I24" i="16" l="1"/>
  <c r="G24" i="16"/>
  <c r="E24" i="16"/>
  <c r="C24" i="16"/>
  <c r="K331" i="6"/>
  <c r="I331" i="6"/>
  <c r="G331" i="6"/>
  <c r="E331" i="6"/>
  <c r="C331" i="6"/>
  <c r="K301" i="6"/>
  <c r="I301" i="6"/>
  <c r="G301" i="6"/>
  <c r="E301" i="6"/>
  <c r="C301" i="6"/>
  <c r="K267" i="6"/>
  <c r="I267" i="6"/>
  <c r="G267" i="6"/>
  <c r="E267" i="6"/>
  <c r="C267" i="6"/>
  <c r="K215" i="6"/>
  <c r="I215" i="6"/>
  <c r="G215" i="6"/>
  <c r="E215" i="6"/>
  <c r="C215" i="6"/>
  <c r="K194" i="6"/>
  <c r="G194" i="6"/>
  <c r="E194" i="6"/>
  <c r="C194" i="6"/>
  <c r="K190" i="6"/>
  <c r="G190" i="6"/>
  <c r="E190" i="6"/>
  <c r="C190" i="6"/>
  <c r="K186" i="6"/>
  <c r="I186" i="6"/>
  <c r="G186" i="6"/>
  <c r="E186" i="6"/>
  <c r="C186" i="6"/>
  <c r="K152" i="6"/>
  <c r="I152" i="6"/>
  <c r="G152" i="6"/>
  <c r="E152" i="6"/>
  <c r="C152" i="6"/>
  <c r="M8" i="10"/>
  <c r="K8" i="10"/>
  <c r="I8" i="10"/>
  <c r="G8" i="10"/>
  <c r="E8" i="10"/>
  <c r="I8" i="35"/>
  <c r="G8" i="35"/>
  <c r="E8" i="35" l="1"/>
  <c r="C8" i="35"/>
  <c r="M30" i="10" l="1"/>
  <c r="M31" i="10"/>
  <c r="M32" i="10"/>
  <c r="M33" i="10"/>
  <c r="M34" i="10"/>
  <c r="M35" i="10"/>
  <c r="M34" i="21"/>
  <c r="I15" i="1"/>
  <c r="K48" i="2"/>
  <c r="K118" i="6"/>
  <c r="C119" i="6"/>
  <c r="I36" i="6" l="1"/>
  <c r="I19" i="2"/>
  <c r="G36" i="6"/>
  <c r="E36" i="6"/>
  <c r="C36" i="6"/>
  <c r="K21" i="21"/>
  <c r="K18" i="10"/>
  <c r="I20" i="3"/>
  <c r="K42" i="16" l="1"/>
  <c r="K23" i="16"/>
  <c r="K24" i="16" s="1"/>
  <c r="K18" i="16"/>
  <c r="K19" i="16"/>
  <c r="K32" i="16" l="1"/>
  <c r="K33" i="16"/>
  <c r="K34" i="16"/>
  <c r="K35" i="16"/>
  <c r="K36" i="16"/>
  <c r="K37" i="16"/>
  <c r="K38" i="16"/>
  <c r="K39" i="16"/>
  <c r="K40" i="16"/>
  <c r="K41" i="16"/>
  <c r="K43" i="16"/>
  <c r="K44" i="16"/>
  <c r="K45" i="16"/>
  <c r="K17" i="16"/>
  <c r="K16" i="16"/>
  <c r="K12" i="16"/>
  <c r="K11" i="16"/>
  <c r="K9" i="16"/>
  <c r="K10" i="16"/>
  <c r="K7" i="16"/>
  <c r="I11" i="5"/>
  <c r="K35" i="2"/>
  <c r="M11" i="21"/>
  <c r="M9" i="21"/>
  <c r="K8" i="21"/>
  <c r="M24" i="10"/>
  <c r="M22" i="10"/>
  <c r="I7" i="7"/>
  <c r="K8" i="18"/>
  <c r="K7" i="18"/>
  <c r="I37" i="6" l="1"/>
  <c r="I35" i="6"/>
  <c r="I34" i="6"/>
  <c r="I32" i="6"/>
  <c r="I31" i="6"/>
  <c r="I30" i="6"/>
  <c r="I29" i="6"/>
  <c r="I28" i="6"/>
  <c r="I27" i="6"/>
  <c r="I26" i="6"/>
  <c r="I9" i="6"/>
  <c r="V48" i="16"/>
  <c r="U48" i="16"/>
  <c r="V20" i="16"/>
  <c r="V13" i="16"/>
  <c r="V54" i="16" s="1"/>
  <c r="V50" i="16" l="1"/>
  <c r="K29" i="10"/>
  <c r="K28" i="10"/>
  <c r="K27" i="10"/>
  <c r="K26" i="10"/>
  <c r="K25" i="10"/>
  <c r="K31" i="21"/>
  <c r="K30" i="21"/>
  <c r="K29" i="21"/>
  <c r="K27" i="21"/>
  <c r="I310" i="6"/>
  <c r="K305" i="6"/>
  <c r="K160" i="6"/>
  <c r="K7" i="2"/>
  <c r="K19" i="5"/>
  <c r="K370" i="6"/>
  <c r="K378" i="6"/>
  <c r="K366" i="6"/>
  <c r="I338" i="6"/>
  <c r="K338" i="6" s="1"/>
  <c r="K334" i="6"/>
  <c r="K349" i="6"/>
  <c r="K348" i="6"/>
  <c r="K347" i="6"/>
  <c r="K345" i="6"/>
  <c r="K344" i="6"/>
  <c r="K343" i="6"/>
  <c r="K342" i="6"/>
  <c r="K304" i="6"/>
  <c r="K317" i="6"/>
  <c r="K316" i="6"/>
  <c r="K315" i="6"/>
  <c r="K314" i="6"/>
  <c r="K313" i="6"/>
  <c r="K310" i="6"/>
  <c r="K270" i="6"/>
  <c r="K287" i="6"/>
  <c r="K286" i="6"/>
  <c r="K285" i="6"/>
  <c r="K284" i="6"/>
  <c r="K283" i="6"/>
  <c r="K282" i="6"/>
  <c r="K281" i="6"/>
  <c r="K280" i="6"/>
  <c r="K279" i="6"/>
  <c r="I243" i="6"/>
  <c r="K243" i="6" s="1"/>
  <c r="K252" i="6"/>
  <c r="K250" i="6"/>
  <c r="K249" i="6"/>
  <c r="K248" i="6"/>
  <c r="K247" i="6"/>
  <c r="K239" i="6"/>
  <c r="K234" i="6"/>
  <c r="K219" i="6"/>
  <c r="K218" i="6"/>
  <c r="I190" i="6"/>
  <c r="K201" i="6"/>
  <c r="K200" i="6"/>
  <c r="K199" i="6"/>
  <c r="K198" i="6"/>
  <c r="K197" i="6"/>
  <c r="K155" i="6"/>
  <c r="K172" i="6"/>
  <c r="K171" i="6"/>
  <c r="K170" i="6"/>
  <c r="K169" i="6"/>
  <c r="K168" i="6"/>
  <c r="K167" i="6"/>
  <c r="K162" i="6"/>
  <c r="K156" i="6"/>
  <c r="K140" i="6"/>
  <c r="K139" i="6"/>
  <c r="K138" i="6"/>
  <c r="K136" i="6"/>
  <c r="K135" i="6"/>
  <c r="K131" i="6"/>
  <c r="K114" i="6"/>
  <c r="K113" i="6"/>
  <c r="K111" i="6"/>
  <c r="K110" i="6"/>
  <c r="K109" i="6"/>
  <c r="K108" i="6"/>
  <c r="K107" i="6"/>
  <c r="K106" i="6"/>
  <c r="K95" i="6"/>
  <c r="K22" i="18"/>
  <c r="K34" i="18"/>
  <c r="K33" i="18"/>
  <c r="K32" i="18"/>
  <c r="K28" i="18"/>
  <c r="K27" i="18"/>
  <c r="K26" i="18"/>
  <c r="K17" i="18"/>
  <c r="K16" i="18"/>
  <c r="K9" i="18"/>
  <c r="I13" i="20"/>
  <c r="I17" i="20" s="1"/>
  <c r="K17" i="20" s="1"/>
  <c r="K26" i="20"/>
  <c r="K25" i="20"/>
  <c r="K24" i="20"/>
  <c r="K22" i="20"/>
  <c r="I14" i="31"/>
  <c r="I19" i="31" s="1"/>
  <c r="K30" i="31"/>
  <c r="K24" i="31"/>
  <c r="K8" i="31"/>
  <c r="K7" i="31"/>
  <c r="I22" i="7"/>
  <c r="I26" i="7" s="1"/>
  <c r="K26" i="7" s="1"/>
  <c r="K38" i="7"/>
  <c r="K37" i="7"/>
  <c r="K36" i="7"/>
  <c r="K35" i="7"/>
  <c r="K34" i="7"/>
  <c r="K33" i="7"/>
  <c r="K32" i="7"/>
  <c r="K31" i="7"/>
  <c r="K30" i="7"/>
  <c r="K7" i="7"/>
  <c r="K39" i="5"/>
  <c r="K37" i="5"/>
  <c r="K36" i="5"/>
  <c r="K35" i="5"/>
  <c r="K34" i="5"/>
  <c r="K32" i="5"/>
  <c r="K31" i="5"/>
  <c r="K30" i="5"/>
  <c r="K21" i="5"/>
  <c r="K18" i="5"/>
  <c r="K12" i="5"/>
  <c r="K11" i="5"/>
  <c r="K9" i="5"/>
  <c r="K8" i="5"/>
  <c r="K7" i="5"/>
  <c r="I21" i="5"/>
  <c r="I20" i="5"/>
  <c r="K33" i="4"/>
  <c r="K32" i="4"/>
  <c r="K31" i="4"/>
  <c r="K30" i="4"/>
  <c r="K29" i="4"/>
  <c r="K28" i="4"/>
  <c r="K27" i="4"/>
  <c r="I20" i="4"/>
  <c r="K20" i="4" s="1"/>
  <c r="K14" i="4"/>
  <c r="K13" i="4"/>
  <c r="K12" i="4"/>
  <c r="K10" i="4"/>
  <c r="K9" i="4"/>
  <c r="K8" i="4"/>
  <c r="K7" i="4"/>
  <c r="M29" i="10"/>
  <c r="M28" i="10"/>
  <c r="M27" i="10"/>
  <c r="M26" i="10"/>
  <c r="M25" i="10"/>
  <c r="M23" i="10"/>
  <c r="M13" i="10"/>
  <c r="M12" i="10"/>
  <c r="K27" i="3"/>
  <c r="I15" i="34"/>
  <c r="I16" i="3"/>
  <c r="K16" i="3" s="1"/>
  <c r="I16" i="32"/>
  <c r="I20" i="32" s="1"/>
  <c r="I11" i="35"/>
  <c r="I14" i="35" s="1"/>
  <c r="I15" i="35" s="1"/>
  <c r="K28" i="34"/>
  <c r="K27" i="34"/>
  <c r="K25" i="34"/>
  <c r="K24" i="34"/>
  <c r="K23" i="34"/>
  <c r="K22" i="34"/>
  <c r="K14" i="34"/>
  <c r="K7" i="34"/>
  <c r="K27" i="35"/>
  <c r="K26" i="35"/>
  <c r="K25" i="35"/>
  <c r="K23" i="35"/>
  <c r="K22" i="35"/>
  <c r="K20" i="35"/>
  <c r="K19" i="35"/>
  <c r="K7" i="35"/>
  <c r="K8" i="35" s="1"/>
  <c r="M38" i="21"/>
  <c r="M37" i="21"/>
  <c r="M36" i="21"/>
  <c r="M35" i="21"/>
  <c r="M32" i="21"/>
  <c r="M31" i="21"/>
  <c r="M30" i="21"/>
  <c r="M29" i="21"/>
  <c r="M28" i="21"/>
  <c r="M27" i="21"/>
  <c r="M26" i="21"/>
  <c r="M25" i="21"/>
  <c r="M17" i="21"/>
  <c r="M16" i="21"/>
  <c r="M12" i="21"/>
  <c r="M8" i="21"/>
  <c r="I27" i="32"/>
  <c r="K31" i="32"/>
  <c r="K30" i="32"/>
  <c r="K28" i="32"/>
  <c r="K26" i="32"/>
  <c r="K25" i="32"/>
  <c r="K24" i="32"/>
  <c r="K10" i="32"/>
  <c r="K9" i="32"/>
  <c r="K8" i="32"/>
  <c r="K7" i="32"/>
  <c r="K9" i="2"/>
  <c r="K39" i="2"/>
  <c r="K37" i="2"/>
  <c r="K36" i="2"/>
  <c r="K34" i="2"/>
  <c r="K33" i="2"/>
  <c r="K42" i="2"/>
  <c r="K41" i="2"/>
  <c r="K40" i="2"/>
  <c r="K31" i="2"/>
  <c r="K30" i="2"/>
  <c r="K29" i="2"/>
  <c r="K26" i="2"/>
  <c r="K25" i="2"/>
  <c r="K24" i="2"/>
  <c r="K23" i="2"/>
  <c r="K14" i="2"/>
  <c r="K13" i="2"/>
  <c r="K10" i="3"/>
  <c r="K9" i="3"/>
  <c r="K33" i="3"/>
  <c r="K30" i="3"/>
  <c r="K28" i="3"/>
  <c r="K26" i="3"/>
  <c r="K25" i="3"/>
  <c r="K24" i="3"/>
  <c r="K20" i="3"/>
  <c r="K15" i="3"/>
  <c r="K14" i="3"/>
  <c r="I14" i="6"/>
  <c r="I15" i="6"/>
  <c r="K19" i="10"/>
  <c r="M18" i="10"/>
  <c r="K22" i="21"/>
  <c r="E48" i="16"/>
  <c r="E20" i="16"/>
  <c r="E50" i="16" s="1"/>
  <c r="E41" i="1" s="1"/>
  <c r="E13" i="16"/>
  <c r="G46" i="16"/>
  <c r="G31" i="16"/>
  <c r="G30" i="16"/>
  <c r="G29" i="16"/>
  <c r="K29" i="16" s="1"/>
  <c r="G28" i="16"/>
  <c r="K28" i="16" s="1"/>
  <c r="G27" i="16"/>
  <c r="K27" i="16" s="1"/>
  <c r="G8" i="16"/>
  <c r="K8" i="16" s="1"/>
  <c r="K13" i="20" l="1"/>
  <c r="I18" i="34"/>
  <c r="I19" i="34" s="1"/>
  <c r="K15" i="34"/>
  <c r="E54" i="16"/>
  <c r="I17" i="6"/>
  <c r="K11" i="35"/>
  <c r="I308" i="6"/>
  <c r="K308" i="6" s="1"/>
  <c r="I21" i="6"/>
  <c r="I374" i="6"/>
  <c r="K374" i="6" s="1"/>
  <c r="I309" i="6"/>
  <c r="K309" i="6" s="1"/>
  <c r="K96" i="6"/>
  <c r="I16" i="6"/>
  <c r="I193" i="6"/>
  <c r="I194" i="6" s="1"/>
  <c r="I25" i="5"/>
  <c r="K25" i="5" s="1"/>
  <c r="K14" i="31"/>
  <c r="E23" i="1"/>
  <c r="M21" i="21"/>
  <c r="K20" i="5"/>
  <c r="K22" i="7"/>
  <c r="I24" i="4"/>
  <c r="K24" i="4" s="1"/>
  <c r="I161" i="6"/>
  <c r="K161" i="6" s="1"/>
  <c r="I274" i="6"/>
  <c r="K274" i="6" s="1"/>
  <c r="K4" i="16"/>
  <c r="K2" i="16"/>
  <c r="K3" i="16"/>
  <c r="E4" i="16"/>
  <c r="E3" i="16"/>
  <c r="I20" i="6" l="1"/>
  <c r="G35" i="6"/>
  <c r="C35" i="6"/>
  <c r="E35" i="6"/>
  <c r="K35" i="6" l="1"/>
  <c r="E254" i="6"/>
  <c r="E236" i="6"/>
  <c r="E20" i="6"/>
  <c r="E16" i="6"/>
  <c r="E202" i="6"/>
  <c r="E26" i="6"/>
  <c r="E141" i="6"/>
  <c r="E119" i="6"/>
  <c r="E34" i="6"/>
  <c r="E31" i="6"/>
  <c r="E37" i="6"/>
  <c r="E33" i="6"/>
  <c r="E32" i="6"/>
  <c r="E30" i="6"/>
  <c r="E29" i="6"/>
  <c r="E28" i="6"/>
  <c r="E27" i="6"/>
  <c r="E25" i="6"/>
  <c r="E21" i="6"/>
  <c r="E103" i="6"/>
  <c r="E17" i="6"/>
  <c r="E15" i="6"/>
  <c r="E14" i="6"/>
  <c r="E98" i="6"/>
  <c r="G9" i="6"/>
  <c r="E9" i="6"/>
  <c r="E91" i="6"/>
  <c r="E10" i="6" l="1"/>
  <c r="E121" i="6"/>
  <c r="E123" i="6" s="1"/>
  <c r="E22" i="6"/>
  <c r="E18" i="6"/>
  <c r="E38" i="6"/>
  <c r="I379" i="6"/>
  <c r="G379" i="6"/>
  <c r="E379" i="6"/>
  <c r="C379" i="6"/>
  <c r="G375" i="6"/>
  <c r="E375" i="6"/>
  <c r="C375" i="6"/>
  <c r="I371" i="6"/>
  <c r="G371" i="6"/>
  <c r="E371" i="6"/>
  <c r="C371" i="6"/>
  <c r="I367" i="6"/>
  <c r="G367" i="6"/>
  <c r="G8" i="6" s="1"/>
  <c r="E367" i="6"/>
  <c r="E8" i="6" s="1"/>
  <c r="C367" i="6"/>
  <c r="C8" i="6" s="1"/>
  <c r="G346" i="6"/>
  <c r="K346" i="6" s="1"/>
  <c r="C348" i="6"/>
  <c r="C343" i="6"/>
  <c r="C342" i="6"/>
  <c r="C338" i="6"/>
  <c r="C334" i="6"/>
  <c r="G339" i="6"/>
  <c r="E339" i="6"/>
  <c r="C339" i="6"/>
  <c r="E351" i="6"/>
  <c r="E335" i="6"/>
  <c r="E318" i="6"/>
  <c r="E311" i="6"/>
  <c r="E306" i="6"/>
  <c r="G278" i="6"/>
  <c r="K278" i="6" s="1"/>
  <c r="E288" i="6"/>
  <c r="I275" i="6"/>
  <c r="G275" i="6"/>
  <c r="E275" i="6"/>
  <c r="C275" i="6"/>
  <c r="I271" i="6"/>
  <c r="G271" i="6"/>
  <c r="E271" i="6"/>
  <c r="C271" i="6"/>
  <c r="I244" i="6"/>
  <c r="G244" i="6"/>
  <c r="E244" i="6"/>
  <c r="C244" i="6"/>
  <c r="I240" i="6"/>
  <c r="G240" i="6"/>
  <c r="E240" i="6"/>
  <c r="C240" i="6"/>
  <c r="I220" i="6"/>
  <c r="I222" i="6" s="1"/>
  <c r="E220" i="6"/>
  <c r="E204" i="6"/>
  <c r="E206" i="6" s="1"/>
  <c r="E157" i="6"/>
  <c r="E163" i="6"/>
  <c r="E173" i="6"/>
  <c r="G141" i="6"/>
  <c r="G132" i="6"/>
  <c r="E132" i="6"/>
  <c r="E143" i="6" s="1"/>
  <c r="C132" i="6"/>
  <c r="G102" i="6"/>
  <c r="K102" i="6" s="1"/>
  <c r="G101" i="6"/>
  <c r="K101" i="6" s="1"/>
  <c r="C101" i="6"/>
  <c r="G97" i="6"/>
  <c r="K97" i="6" s="1"/>
  <c r="G94" i="6"/>
  <c r="K94" i="6" s="1"/>
  <c r="G90" i="6"/>
  <c r="K6" i="6"/>
  <c r="K5" i="6"/>
  <c r="K4" i="6"/>
  <c r="E6" i="6"/>
  <c r="E5" i="6"/>
  <c r="E4" i="6"/>
  <c r="C4" i="6"/>
  <c r="E35" i="18"/>
  <c r="I23" i="18"/>
  <c r="G23" i="18"/>
  <c r="E23" i="18"/>
  <c r="E19" i="18"/>
  <c r="E11" i="18"/>
  <c r="E21" i="1" s="1"/>
  <c r="C22" i="18"/>
  <c r="C23" i="18" s="1"/>
  <c r="K5" i="18"/>
  <c r="K4" i="18"/>
  <c r="E5" i="18"/>
  <c r="E4" i="18"/>
  <c r="E3" i="18"/>
  <c r="C3" i="18"/>
  <c r="K240" i="6" l="1"/>
  <c r="K244" i="6"/>
  <c r="K271" i="6"/>
  <c r="K275" i="6"/>
  <c r="K371" i="6"/>
  <c r="E37" i="18"/>
  <c r="E39" i="1" s="1"/>
  <c r="E224" i="6"/>
  <c r="E222" i="6"/>
  <c r="E86" i="6"/>
  <c r="K87" i="6"/>
  <c r="E87" i="6"/>
  <c r="C85" i="6"/>
  <c r="K85" i="6"/>
  <c r="E85" i="6"/>
  <c r="K379" i="6"/>
  <c r="I8" i="6"/>
  <c r="K367" i="6"/>
  <c r="K23" i="18"/>
  <c r="K132" i="6"/>
  <c r="E381" i="6"/>
  <c r="E383" i="6" s="1"/>
  <c r="E11" i="6"/>
  <c r="E22" i="1" s="1"/>
  <c r="G143" i="6"/>
  <c r="E320" i="6"/>
  <c r="E322" i="6" s="1"/>
  <c r="E175" i="6"/>
  <c r="E177" i="6" s="1"/>
  <c r="G381" i="6"/>
  <c r="G383" i="6" s="1"/>
  <c r="E256" i="6"/>
  <c r="E258" i="6" s="1"/>
  <c r="E353" i="6"/>
  <c r="E355" i="6" s="1"/>
  <c r="E40" i="6"/>
  <c r="E290" i="6"/>
  <c r="E292" i="6" s="1"/>
  <c r="C381" i="6"/>
  <c r="C383" i="6" s="1"/>
  <c r="K363" i="6"/>
  <c r="E328" i="6"/>
  <c r="K364" i="6"/>
  <c r="C362" i="6"/>
  <c r="E363" i="6"/>
  <c r="K362" i="6"/>
  <c r="E364" i="6"/>
  <c r="K327" i="6"/>
  <c r="E362" i="6"/>
  <c r="E210" i="6"/>
  <c r="K328" i="6"/>
  <c r="C326" i="6"/>
  <c r="E327" i="6"/>
  <c r="K326" i="6"/>
  <c r="K211" i="6"/>
  <c r="E326" i="6"/>
  <c r="E212" i="6"/>
  <c r="C230" i="6"/>
  <c r="K230" i="6"/>
  <c r="E262" i="6"/>
  <c r="K263" i="6"/>
  <c r="E297" i="6"/>
  <c r="K298" i="6"/>
  <c r="E211" i="6"/>
  <c r="K212" i="6"/>
  <c r="E232" i="6"/>
  <c r="C262" i="6"/>
  <c r="K262" i="6"/>
  <c r="E296" i="6"/>
  <c r="K297" i="6"/>
  <c r="E231" i="6"/>
  <c r="K232" i="6"/>
  <c r="E264" i="6"/>
  <c r="C296" i="6"/>
  <c r="K296" i="6"/>
  <c r="C210" i="6"/>
  <c r="K210" i="6"/>
  <c r="E230" i="6"/>
  <c r="K231" i="6"/>
  <c r="E263" i="6"/>
  <c r="K264" i="6"/>
  <c r="E298" i="6"/>
  <c r="E182" i="6"/>
  <c r="K183" i="6"/>
  <c r="E181" i="6"/>
  <c r="K182" i="6"/>
  <c r="C181" i="6"/>
  <c r="K181" i="6"/>
  <c r="E183" i="6"/>
  <c r="E148" i="6"/>
  <c r="K149" i="6"/>
  <c r="E147" i="6"/>
  <c r="K148" i="6"/>
  <c r="C147" i="6"/>
  <c r="K147" i="6"/>
  <c r="E149" i="6"/>
  <c r="E128" i="6"/>
  <c r="K129" i="6"/>
  <c r="E127" i="6"/>
  <c r="K128" i="6"/>
  <c r="C127" i="6"/>
  <c r="K127" i="6"/>
  <c r="E129" i="6"/>
  <c r="K86" i="6"/>
  <c r="E39" i="18" l="1"/>
  <c r="K8" i="6"/>
  <c r="E42" i="6"/>
  <c r="E40" i="1"/>
  <c r="E27" i="20"/>
  <c r="E9" i="20"/>
  <c r="E20" i="1" s="1"/>
  <c r="C9" i="20"/>
  <c r="I18" i="20"/>
  <c r="G18" i="20"/>
  <c r="E18" i="20"/>
  <c r="C18" i="20"/>
  <c r="E14" i="20"/>
  <c r="G23" i="20"/>
  <c r="K23" i="20" s="1"/>
  <c r="G21" i="20"/>
  <c r="K21" i="20" s="1"/>
  <c r="K6" i="20"/>
  <c r="E6" i="20"/>
  <c r="E5" i="20"/>
  <c r="E4" i="20"/>
  <c r="C4" i="20"/>
  <c r="C5" i="20"/>
  <c r="K18" i="20" l="1"/>
  <c r="E29" i="20"/>
  <c r="E38" i="1" s="1"/>
  <c r="E18" i="1"/>
  <c r="E31" i="31"/>
  <c r="E33" i="31" s="1"/>
  <c r="E37" i="1" s="1"/>
  <c r="E16" i="31"/>
  <c r="E9" i="31"/>
  <c r="E19" i="1" s="1"/>
  <c r="G29" i="31"/>
  <c r="K29" i="31" s="1"/>
  <c r="G28" i="31"/>
  <c r="K28" i="31" s="1"/>
  <c r="G27" i="31"/>
  <c r="K27" i="31" s="1"/>
  <c r="G25" i="31"/>
  <c r="K25" i="31" s="1"/>
  <c r="G23" i="31"/>
  <c r="K23" i="31" s="1"/>
  <c r="G20" i="31"/>
  <c r="E20" i="31"/>
  <c r="C20" i="31"/>
  <c r="K5" i="31"/>
  <c r="K4" i="31"/>
  <c r="K3" i="31"/>
  <c r="E5" i="31"/>
  <c r="E4" i="31"/>
  <c r="E3" i="31"/>
  <c r="C3" i="31"/>
  <c r="E41" i="7"/>
  <c r="E8" i="7"/>
  <c r="E23" i="7"/>
  <c r="I27" i="7"/>
  <c r="G27" i="7"/>
  <c r="E27" i="7"/>
  <c r="C27" i="7"/>
  <c r="I8" i="7"/>
  <c r="G8" i="7"/>
  <c r="C8" i="7"/>
  <c r="K5" i="7"/>
  <c r="K4" i="7"/>
  <c r="K3" i="7"/>
  <c r="E5" i="7"/>
  <c r="E4" i="7"/>
  <c r="E3" i="7"/>
  <c r="C3" i="7"/>
  <c r="E40" i="5"/>
  <c r="E42" i="5" s="1"/>
  <c r="E35" i="1" s="1"/>
  <c r="E22" i="5"/>
  <c r="E15" i="5"/>
  <c r="E17" i="1" s="1"/>
  <c r="G33" i="5"/>
  <c r="K33" i="5" s="1"/>
  <c r="G29" i="5"/>
  <c r="K29" i="5" s="1"/>
  <c r="C25" i="5"/>
  <c r="C26" i="5" s="1"/>
  <c r="G26" i="5"/>
  <c r="E26" i="5"/>
  <c r="K5" i="5"/>
  <c r="K4" i="5"/>
  <c r="K3" i="5"/>
  <c r="E5" i="5"/>
  <c r="E4" i="5"/>
  <c r="E3" i="5"/>
  <c r="C3" i="5"/>
  <c r="I19" i="10"/>
  <c r="M19" i="10" s="1"/>
  <c r="G19" i="10"/>
  <c r="E19" i="34"/>
  <c r="G15" i="35"/>
  <c r="K15" i="35" s="1"/>
  <c r="E15" i="35"/>
  <c r="C15" i="35"/>
  <c r="I22" i="21"/>
  <c r="M22" i="21" s="1"/>
  <c r="G22" i="21"/>
  <c r="E21" i="32"/>
  <c r="C21" i="32"/>
  <c r="E36" i="4"/>
  <c r="E25" i="4"/>
  <c r="E21" i="4"/>
  <c r="E16" i="4"/>
  <c r="E16" i="1" s="1"/>
  <c r="E5" i="4"/>
  <c r="E4" i="4"/>
  <c r="E3" i="4"/>
  <c r="K5" i="4"/>
  <c r="K4" i="4"/>
  <c r="K3" i="4"/>
  <c r="C3" i="4"/>
  <c r="G37" i="10"/>
  <c r="G14" i="10"/>
  <c r="K8" i="7" l="1"/>
  <c r="K27" i="7"/>
  <c r="G41" i="10"/>
  <c r="E38" i="4"/>
  <c r="E34" i="1" s="1"/>
  <c r="E45" i="7"/>
  <c r="E31" i="20"/>
  <c r="E40" i="4"/>
  <c r="E43" i="7"/>
  <c r="E36" i="1" s="1"/>
  <c r="E35" i="31"/>
  <c r="G39" i="10"/>
  <c r="E33" i="1" s="1"/>
  <c r="E44" i="5"/>
  <c r="E18" i="10"/>
  <c r="E19" i="10" s="1"/>
  <c r="M5" i="10"/>
  <c r="M4" i="10"/>
  <c r="M3" i="10"/>
  <c r="G5" i="10"/>
  <c r="G4" i="10"/>
  <c r="G3" i="10"/>
  <c r="E30" i="34"/>
  <c r="E16" i="34"/>
  <c r="E9" i="34"/>
  <c r="E14" i="1" s="1"/>
  <c r="G26" i="34"/>
  <c r="K26" i="34" s="1"/>
  <c r="G18" i="34"/>
  <c r="C18" i="34"/>
  <c r="C19" i="34" s="1"/>
  <c r="K5" i="34"/>
  <c r="K4" i="34"/>
  <c r="K3" i="34"/>
  <c r="E5" i="34"/>
  <c r="E4" i="34"/>
  <c r="E3" i="34"/>
  <c r="C3" i="34"/>
  <c r="E28" i="35"/>
  <c r="E12" i="35"/>
  <c r="C11" i="35"/>
  <c r="K5" i="35"/>
  <c r="K4" i="35"/>
  <c r="K3" i="35"/>
  <c r="E5" i="35"/>
  <c r="E4" i="35"/>
  <c r="E3" i="35"/>
  <c r="C3" i="35"/>
  <c r="G40" i="21"/>
  <c r="G19" i="21"/>
  <c r="G13" i="21"/>
  <c r="E21" i="21"/>
  <c r="E22" i="21" s="1"/>
  <c r="M5" i="21"/>
  <c r="M4" i="21"/>
  <c r="M3" i="21"/>
  <c r="G5" i="21"/>
  <c r="G4" i="21"/>
  <c r="G3" i="21"/>
  <c r="E3" i="21"/>
  <c r="E32" i="32"/>
  <c r="E17" i="32"/>
  <c r="E36" i="32" s="1"/>
  <c r="E11" i="32"/>
  <c r="E12" i="1" s="1"/>
  <c r="G16" i="32"/>
  <c r="K16" i="32" s="1"/>
  <c r="K5" i="32"/>
  <c r="K4" i="32"/>
  <c r="K3" i="32"/>
  <c r="E5" i="32"/>
  <c r="E4" i="32"/>
  <c r="E3" i="32"/>
  <c r="C3" i="32"/>
  <c r="E34" i="3"/>
  <c r="E21" i="3"/>
  <c r="E17" i="3"/>
  <c r="E11" i="3"/>
  <c r="G7" i="3"/>
  <c r="K7" i="3" s="1"/>
  <c r="C20" i="3"/>
  <c r="C7" i="3"/>
  <c r="K5" i="3"/>
  <c r="K4" i="3"/>
  <c r="K3" i="3"/>
  <c r="E5" i="3"/>
  <c r="E4" i="3"/>
  <c r="E3" i="3"/>
  <c r="G19" i="2"/>
  <c r="K19" i="2" s="1"/>
  <c r="E57" i="1"/>
  <c r="E47" i="2" s="1"/>
  <c r="E43" i="2"/>
  <c r="E20" i="2"/>
  <c r="E17" i="2"/>
  <c r="E10" i="2"/>
  <c r="E48" i="2" s="1"/>
  <c r="E30" i="35" l="1"/>
  <c r="G20" i="32"/>
  <c r="E36" i="3"/>
  <c r="E28" i="1" s="1"/>
  <c r="E38" i="3"/>
  <c r="E45" i="2"/>
  <c r="E27" i="1" s="1"/>
  <c r="E11" i="1"/>
  <c r="E34" i="32"/>
  <c r="E29" i="1" s="1"/>
  <c r="G44" i="21"/>
  <c r="E32" i="34"/>
  <c r="E32" i="1" s="1"/>
  <c r="K18" i="34"/>
  <c r="G19" i="34"/>
  <c r="K19" i="34" s="1"/>
  <c r="K20" i="32"/>
  <c r="G21" i="32"/>
  <c r="G42" i="21"/>
  <c r="E30" i="1" s="1"/>
  <c r="E13" i="1"/>
  <c r="E49" i="2"/>
  <c r="E10" i="1" s="1"/>
  <c r="E34" i="34"/>
  <c r="G56" i="1"/>
  <c r="G55" i="1"/>
  <c r="G57" i="1" s="1"/>
  <c r="G47" i="2" s="1"/>
  <c r="C56" i="1"/>
  <c r="C55" i="1"/>
  <c r="G38" i="2"/>
  <c r="K38" i="2" s="1"/>
  <c r="G28" i="2"/>
  <c r="C19" i="2"/>
  <c r="G15" i="2"/>
  <c r="C9" i="2"/>
  <c r="C7" i="2"/>
  <c r="K5" i="2"/>
  <c r="K4" i="2"/>
  <c r="K3" i="2"/>
  <c r="E5" i="2"/>
  <c r="E4" i="2"/>
  <c r="E3" i="2"/>
  <c r="I55" i="1"/>
  <c r="C37" i="6"/>
  <c r="C34" i="6"/>
  <c r="C33" i="6"/>
  <c r="C32" i="6"/>
  <c r="C31" i="6"/>
  <c r="C30" i="6"/>
  <c r="C29" i="6"/>
  <c r="C28" i="6"/>
  <c r="C27" i="6"/>
  <c r="C26" i="6"/>
  <c r="C25" i="6"/>
  <c r="C21" i="6"/>
  <c r="C20" i="6"/>
  <c r="C17" i="6"/>
  <c r="C16" i="6"/>
  <c r="C15" i="6"/>
  <c r="C14" i="6"/>
  <c r="C9" i="6"/>
  <c r="G34" i="6"/>
  <c r="K34" i="6" s="1"/>
  <c r="G37" i="6"/>
  <c r="K37" i="6" s="1"/>
  <c r="G32" i="6"/>
  <c r="G31" i="6"/>
  <c r="G30" i="6"/>
  <c r="K30" i="6" s="1"/>
  <c r="G29" i="6"/>
  <c r="G27" i="6"/>
  <c r="K27" i="6" s="1"/>
  <c r="G25" i="6"/>
  <c r="G21" i="6"/>
  <c r="K21" i="6" s="1"/>
  <c r="G17" i="6"/>
  <c r="G15" i="6"/>
  <c r="K15" i="6" s="1"/>
  <c r="G14" i="6"/>
  <c r="K14" i="6" s="1"/>
  <c r="I33" i="6"/>
  <c r="I25" i="6"/>
  <c r="K25" i="6" l="1"/>
  <c r="E31" i="1"/>
  <c r="E43" i="1" s="1"/>
  <c r="E32" i="35"/>
  <c r="K29" i="6"/>
  <c r="K32" i="6"/>
  <c r="C57" i="1"/>
  <c r="C47" i="2" s="1"/>
  <c r="E24" i="1"/>
  <c r="E51" i="2"/>
  <c r="C22" i="6"/>
  <c r="C18" i="6"/>
  <c r="C427" i="6"/>
  <c r="C400" i="6"/>
  <c r="C396" i="6"/>
  <c r="I375" i="6"/>
  <c r="C351" i="6"/>
  <c r="G33" i="6"/>
  <c r="K33" i="6" s="1"/>
  <c r="G28" i="6"/>
  <c r="K28" i="6" s="1"/>
  <c r="G26" i="6"/>
  <c r="I339" i="6"/>
  <c r="K339" i="6" s="1"/>
  <c r="I335" i="6"/>
  <c r="C335" i="6"/>
  <c r="K17" i="6"/>
  <c r="E45" i="1" l="1"/>
  <c r="E48" i="1" s="1"/>
  <c r="I381" i="6"/>
  <c r="K381" i="6" s="1"/>
  <c r="K375" i="6"/>
  <c r="C353" i="6"/>
  <c r="C355" i="6" s="1"/>
  <c r="G335" i="6"/>
  <c r="K335" i="6" s="1"/>
  <c r="G16" i="6"/>
  <c r="G18" i="6" s="1"/>
  <c r="I91" i="6"/>
  <c r="C429" i="6"/>
  <c r="C431" i="6" s="1"/>
  <c r="I351" i="6"/>
  <c r="G351" i="6"/>
  <c r="I353" i="6" l="1"/>
  <c r="I355" i="6" s="1"/>
  <c r="K351" i="6"/>
  <c r="I383" i="6"/>
  <c r="K383" i="6" s="1"/>
  <c r="G353" i="6"/>
  <c r="G355" i="6" s="1"/>
  <c r="K26" i="6"/>
  <c r="K16" i="6"/>
  <c r="K31" i="6"/>
  <c r="I141" i="6"/>
  <c r="K141" i="6" s="1"/>
  <c r="K355" i="6" l="1"/>
  <c r="K353" i="6"/>
  <c r="I143" i="6"/>
  <c r="K143" i="6" s="1"/>
  <c r="I26" i="5"/>
  <c r="K26" i="5" s="1"/>
  <c r="I15" i="5" l="1"/>
  <c r="K14" i="35"/>
  <c r="I21" i="32"/>
  <c r="K21" i="32" s="1"/>
  <c r="K19" i="31" l="1"/>
  <c r="I20" i="31"/>
  <c r="K20" i="31" s="1"/>
  <c r="X23" i="16" l="1"/>
  <c r="I163" i="6" l="1"/>
  <c r="I157" i="6"/>
  <c r="G163" i="6"/>
  <c r="G157" i="6"/>
  <c r="C163" i="6"/>
  <c r="C157" i="6"/>
  <c r="K157" i="6" l="1"/>
  <c r="K163" i="6"/>
  <c r="G13" i="16"/>
  <c r="G27" i="20" l="1"/>
  <c r="G14" i="20"/>
  <c r="G35" i="18"/>
  <c r="G19" i="18"/>
  <c r="G11" i="18"/>
  <c r="G31" i="31"/>
  <c r="G16" i="31"/>
  <c r="G9" i="31"/>
  <c r="I37" i="10"/>
  <c r="I14" i="10"/>
  <c r="G119" i="6"/>
  <c r="G20" i="6"/>
  <c r="G98" i="6"/>
  <c r="G91" i="6"/>
  <c r="K91" i="6" s="1"/>
  <c r="G38" i="6"/>
  <c r="G173" i="6"/>
  <c r="G202" i="6"/>
  <c r="G220" i="6"/>
  <c r="G254" i="6"/>
  <c r="G236" i="6"/>
  <c r="G288" i="6"/>
  <c r="G318" i="6"/>
  <c r="G311" i="6"/>
  <c r="G306" i="6"/>
  <c r="G41" i="7"/>
  <c r="G23" i="7"/>
  <c r="G40" i="5"/>
  <c r="G22" i="5"/>
  <c r="G15" i="5"/>
  <c r="K15" i="5" s="1"/>
  <c r="G36" i="4"/>
  <c r="G25" i="4"/>
  <c r="G21" i="4"/>
  <c r="G16" i="4"/>
  <c r="G30" i="34"/>
  <c r="G16" i="34"/>
  <c r="G9" i="34"/>
  <c r="G28" i="35"/>
  <c r="G12" i="35"/>
  <c r="I40" i="21"/>
  <c r="I19" i="21"/>
  <c r="I13" i="21"/>
  <c r="G32" i="32"/>
  <c r="G17" i="32"/>
  <c r="G11" i="32"/>
  <c r="G34" i="3"/>
  <c r="G21" i="3"/>
  <c r="G17" i="3"/>
  <c r="G11" i="3"/>
  <c r="G43" i="2"/>
  <c r="G20" i="2"/>
  <c r="G17" i="2"/>
  <c r="G29" i="20" l="1"/>
  <c r="G32" i="34"/>
  <c r="G34" i="34" s="1"/>
  <c r="K220" i="6"/>
  <c r="K222" i="6" s="1"/>
  <c r="G222" i="6"/>
  <c r="G10" i="6"/>
  <c r="G11" i="6" s="1"/>
  <c r="I42" i="21"/>
  <c r="G30" i="35"/>
  <c r="G32" i="35" s="1"/>
  <c r="G34" i="32"/>
  <c r="I39" i="10"/>
  <c r="G22" i="6"/>
  <c r="G40" i="6" s="1"/>
  <c r="K20" i="6"/>
  <c r="G37" i="18"/>
  <c r="G39" i="18" s="1"/>
  <c r="G290" i="6"/>
  <c r="G204" i="6"/>
  <c r="G224" i="6"/>
  <c r="G175" i="6"/>
  <c r="G256" i="6"/>
  <c r="G45" i="2"/>
  <c r="G38" i="4"/>
  <c r="G10" i="2"/>
  <c r="G48" i="2" s="1"/>
  <c r="G36" i="3"/>
  <c r="G42" i="5"/>
  <c r="G45" i="7"/>
  <c r="I41" i="10"/>
  <c r="I44" i="21"/>
  <c r="G43" i="7"/>
  <c r="G33" i="31"/>
  <c r="G35" i="31" s="1"/>
  <c r="G103" i="6"/>
  <c r="G320" i="6"/>
  <c r="G36" i="32"/>
  <c r="G44" i="5"/>
  <c r="G40" i="4"/>
  <c r="G38" i="3"/>
  <c r="G292" i="6" l="1"/>
  <c r="G177" i="6"/>
  <c r="G206" i="6"/>
  <c r="G121" i="6"/>
  <c r="G258" i="6"/>
  <c r="G42" i="6"/>
  <c r="G322" i="6"/>
  <c r="G22" i="1"/>
  <c r="I14" i="20"/>
  <c r="K14" i="20" s="1"/>
  <c r="G123" i="6" l="1"/>
  <c r="W13" i="16"/>
  <c r="U13" i="16"/>
  <c r="T13" i="16"/>
  <c r="S13" i="16"/>
  <c r="R13" i="16"/>
  <c r="Q13" i="16"/>
  <c r="P13" i="16"/>
  <c r="O13" i="16"/>
  <c r="S48" i="16"/>
  <c r="S20" i="16"/>
  <c r="G48" i="16"/>
  <c r="G20" i="16"/>
  <c r="C15" i="5"/>
  <c r="C17" i="1" s="1"/>
  <c r="C11" i="32"/>
  <c r="C12" i="1" s="1"/>
  <c r="C18" i="1"/>
  <c r="G11" i="1"/>
  <c r="G12" i="1"/>
  <c r="G18" i="1"/>
  <c r="G23" i="1"/>
  <c r="I18" i="1"/>
  <c r="I11" i="32"/>
  <c r="I11" i="3"/>
  <c r="I318" i="6"/>
  <c r="K318" i="6" s="1"/>
  <c r="C91" i="6"/>
  <c r="I202" i="6"/>
  <c r="K202" i="6" s="1"/>
  <c r="I6" i="6"/>
  <c r="G6" i="6"/>
  <c r="C6" i="6"/>
  <c r="I5" i="6"/>
  <c r="G5" i="6"/>
  <c r="C5" i="6"/>
  <c r="I4" i="6"/>
  <c r="G4" i="6"/>
  <c r="C202" i="6"/>
  <c r="C204" i="6" s="1"/>
  <c r="C206" i="6" s="1"/>
  <c r="I173" i="6"/>
  <c r="K173" i="6" s="1"/>
  <c r="C173" i="6"/>
  <c r="C175" i="6" s="1"/>
  <c r="C177" i="6" s="1"/>
  <c r="C141" i="6"/>
  <c r="C143" i="6" s="1"/>
  <c r="I10" i="2"/>
  <c r="K13" i="21"/>
  <c r="I17" i="1"/>
  <c r="I236" i="6"/>
  <c r="I22" i="5"/>
  <c r="K22" i="5" s="1"/>
  <c r="I40" i="5"/>
  <c r="K40" i="5" s="1"/>
  <c r="I17" i="32"/>
  <c r="K17" i="32" s="1"/>
  <c r="I17" i="3"/>
  <c r="K17" i="3" s="1"/>
  <c r="I21" i="3"/>
  <c r="K21" i="3" s="1"/>
  <c r="I311" i="6"/>
  <c r="K311" i="6" s="1"/>
  <c r="I306" i="6"/>
  <c r="K306" i="6" s="1"/>
  <c r="I288" i="6"/>
  <c r="K288" i="6" s="1"/>
  <c r="I27" i="20"/>
  <c r="I34" i="3"/>
  <c r="K34" i="3" s="1"/>
  <c r="I32" i="32"/>
  <c r="K32" i="32" s="1"/>
  <c r="G38" i="1"/>
  <c r="I254" i="6"/>
  <c r="K254" i="6" s="1"/>
  <c r="I224" i="6"/>
  <c r="K224" i="6" s="1"/>
  <c r="I119" i="6"/>
  <c r="K119" i="6" s="1"/>
  <c r="I77" i="6"/>
  <c r="G77" i="6"/>
  <c r="C236" i="6"/>
  <c r="C318" i="6"/>
  <c r="C311" i="6"/>
  <c r="C306" i="6"/>
  <c r="C288" i="6"/>
  <c r="C290" i="6" s="1"/>
  <c r="C292" i="6" s="1"/>
  <c r="C38" i="6"/>
  <c r="C40" i="6" s="1"/>
  <c r="I98" i="6"/>
  <c r="K98" i="6" s="1"/>
  <c r="I103" i="6"/>
  <c r="K103" i="6" s="1"/>
  <c r="C103" i="6"/>
  <c r="C98" i="6"/>
  <c r="C220" i="6"/>
  <c r="C254" i="6"/>
  <c r="C256" i="6" s="1"/>
  <c r="G17" i="1"/>
  <c r="I58" i="6"/>
  <c r="I62" i="6"/>
  <c r="G58" i="6"/>
  <c r="G62" i="6"/>
  <c r="C58" i="6"/>
  <c r="C62" i="6"/>
  <c r="C77" i="6"/>
  <c r="I30" i="34"/>
  <c r="K30" i="34" s="1"/>
  <c r="C11" i="3"/>
  <c r="C11" i="1" s="1"/>
  <c r="G28" i="1"/>
  <c r="C34" i="3"/>
  <c r="C21" i="3"/>
  <c r="C17" i="3"/>
  <c r="C43" i="2"/>
  <c r="C40" i="5"/>
  <c r="C14" i="20"/>
  <c r="C27" i="20"/>
  <c r="G21" i="1"/>
  <c r="G39" i="1"/>
  <c r="G19" i="1"/>
  <c r="G37" i="1"/>
  <c r="G33" i="1"/>
  <c r="G36" i="1"/>
  <c r="G34" i="1"/>
  <c r="G14" i="1"/>
  <c r="G32" i="1"/>
  <c r="G31" i="1"/>
  <c r="G13" i="1"/>
  <c r="G30" i="1"/>
  <c r="G29" i="1"/>
  <c r="I16" i="31"/>
  <c r="K16" i="31" s="1"/>
  <c r="I25" i="4"/>
  <c r="K25" i="4" s="1"/>
  <c r="I56" i="1"/>
  <c r="I57" i="1" s="1"/>
  <c r="I47" i="2" s="1"/>
  <c r="K47" i="2" s="1"/>
  <c r="I16" i="4"/>
  <c r="I9" i="34"/>
  <c r="I11" i="18"/>
  <c r="K11" i="18" s="1"/>
  <c r="I28" i="35"/>
  <c r="K28" i="35" s="1"/>
  <c r="I12" i="35"/>
  <c r="K12" i="35" s="1"/>
  <c r="C30" i="34"/>
  <c r="E13" i="21"/>
  <c r="C13" i="1" s="1"/>
  <c r="C9" i="34"/>
  <c r="C14" i="1" s="1"/>
  <c r="K37" i="10"/>
  <c r="M37" i="10" s="1"/>
  <c r="K14" i="10"/>
  <c r="M14" i="10" s="1"/>
  <c r="E14" i="10"/>
  <c r="E37" i="10"/>
  <c r="C28" i="35"/>
  <c r="C12" i="35"/>
  <c r="I5" i="35"/>
  <c r="G5" i="35"/>
  <c r="C5" i="35"/>
  <c r="I4" i="35"/>
  <c r="G4" i="35"/>
  <c r="C4" i="35"/>
  <c r="I3" i="35"/>
  <c r="G3" i="35"/>
  <c r="E40" i="21"/>
  <c r="E19" i="21"/>
  <c r="C17" i="2"/>
  <c r="C20" i="2"/>
  <c r="C32" i="32"/>
  <c r="C17" i="32"/>
  <c r="C16" i="34"/>
  <c r="C32" i="34" s="1"/>
  <c r="C21" i="4"/>
  <c r="C25" i="4"/>
  <c r="C36" i="4"/>
  <c r="C22" i="5"/>
  <c r="C23" i="7"/>
  <c r="C41" i="7"/>
  <c r="C16" i="31"/>
  <c r="C31" i="31"/>
  <c r="C20" i="16"/>
  <c r="C48" i="16"/>
  <c r="C19" i="18"/>
  <c r="C35" i="18"/>
  <c r="I17" i="2"/>
  <c r="K17" i="2" s="1"/>
  <c r="I20" i="2"/>
  <c r="K20" i="2" s="1"/>
  <c r="I43" i="2"/>
  <c r="K43" i="2" s="1"/>
  <c r="I41" i="7"/>
  <c r="K41" i="7" s="1"/>
  <c r="I23" i="7"/>
  <c r="K23" i="7" s="1"/>
  <c r="C10" i="2"/>
  <c r="C48" i="2" s="1"/>
  <c r="C16" i="4"/>
  <c r="C9" i="31"/>
  <c r="C13" i="16"/>
  <c r="C11" i="18"/>
  <c r="I16" i="34"/>
  <c r="K16" i="34" s="1"/>
  <c r="I31" i="16"/>
  <c r="K31" i="16" s="1"/>
  <c r="I46" i="16"/>
  <c r="I47" i="16"/>
  <c r="I9" i="31"/>
  <c r="I53" i="1"/>
  <c r="I54" i="1"/>
  <c r="I52" i="1"/>
  <c r="G53" i="1"/>
  <c r="G54" i="1"/>
  <c r="G52" i="1"/>
  <c r="C53" i="1"/>
  <c r="C54" i="1"/>
  <c r="C52" i="1"/>
  <c r="C15" i="7"/>
  <c r="I21" i="4"/>
  <c r="K21" i="4" s="1"/>
  <c r="I36" i="4"/>
  <c r="K36" i="4" s="1"/>
  <c r="I35" i="18"/>
  <c r="K35" i="18" s="1"/>
  <c r="I19" i="18"/>
  <c r="K19" i="18" s="1"/>
  <c r="I31" i="31"/>
  <c r="K31" i="31" s="1"/>
  <c r="K40" i="21"/>
  <c r="M40" i="21" s="1"/>
  <c r="K19" i="21"/>
  <c r="M19" i="21" s="1"/>
  <c r="I4" i="7"/>
  <c r="I5" i="7"/>
  <c r="I3" i="7"/>
  <c r="G4" i="7"/>
  <c r="G5" i="7"/>
  <c r="G3" i="7"/>
  <c r="C4" i="7"/>
  <c r="C5" i="7"/>
  <c r="I4" i="2"/>
  <c r="I5" i="2"/>
  <c r="I3" i="2"/>
  <c r="G4" i="2"/>
  <c r="G5" i="2"/>
  <c r="G3" i="2"/>
  <c r="C4" i="2"/>
  <c r="C5" i="2"/>
  <c r="C3" i="2"/>
  <c r="I4" i="32"/>
  <c r="I5" i="32"/>
  <c r="I3" i="32"/>
  <c r="G4" i="32"/>
  <c r="G5" i="32"/>
  <c r="G3" i="32"/>
  <c r="C4" i="32"/>
  <c r="C5" i="32"/>
  <c r="I4" i="3"/>
  <c r="I5" i="3"/>
  <c r="I3" i="3"/>
  <c r="G4" i="3"/>
  <c r="G5" i="3"/>
  <c r="G3" i="3"/>
  <c r="C4" i="3"/>
  <c r="C5" i="3"/>
  <c r="C3" i="3"/>
  <c r="I4" i="5"/>
  <c r="I5" i="5"/>
  <c r="I3" i="5"/>
  <c r="G4" i="5"/>
  <c r="G5" i="5"/>
  <c r="G3" i="5"/>
  <c r="C4" i="5"/>
  <c r="C5" i="5"/>
  <c r="I5" i="34"/>
  <c r="G5" i="34"/>
  <c r="C5" i="34"/>
  <c r="I4" i="34"/>
  <c r="G4" i="34"/>
  <c r="C4" i="34"/>
  <c r="I3" i="34"/>
  <c r="G3" i="34"/>
  <c r="K4" i="10"/>
  <c r="K5" i="10"/>
  <c r="K3" i="10"/>
  <c r="I4" i="10"/>
  <c r="I5" i="10"/>
  <c r="I3" i="10"/>
  <c r="E4" i="10"/>
  <c r="E5" i="10"/>
  <c r="E3" i="10"/>
  <c r="K4" i="21"/>
  <c r="K5" i="21"/>
  <c r="K3" i="21"/>
  <c r="I4" i="21"/>
  <c r="I5" i="21"/>
  <c r="I3" i="21"/>
  <c r="E4" i="21"/>
  <c r="E5" i="21"/>
  <c r="I4" i="31"/>
  <c r="I5" i="31"/>
  <c r="I3" i="31"/>
  <c r="G4" i="31"/>
  <c r="G5" i="31"/>
  <c r="G3" i="31"/>
  <c r="C4" i="31"/>
  <c r="C5" i="31"/>
  <c r="I4" i="4"/>
  <c r="I5" i="4"/>
  <c r="I3" i="4"/>
  <c r="G4" i="4"/>
  <c r="G5" i="4"/>
  <c r="G3" i="4"/>
  <c r="C4" i="4"/>
  <c r="C5" i="4"/>
  <c r="D13" i="33"/>
  <c r="D17" i="33"/>
  <c r="D33" i="33"/>
  <c r="E13" i="33"/>
  <c r="E17" i="33"/>
  <c r="E33" i="33"/>
  <c r="C13" i="33"/>
  <c r="C17" i="33"/>
  <c r="C33" i="33"/>
  <c r="E3" i="33"/>
  <c r="E4" i="33"/>
  <c r="E2" i="33"/>
  <c r="D3" i="33"/>
  <c r="D4" i="33"/>
  <c r="D2" i="33"/>
  <c r="C3" i="33"/>
  <c r="C4" i="33"/>
  <c r="I4" i="18"/>
  <c r="I5" i="18"/>
  <c r="G4" i="18"/>
  <c r="G5" i="18"/>
  <c r="G3" i="18"/>
  <c r="C4" i="18"/>
  <c r="C5" i="18"/>
  <c r="I6" i="20"/>
  <c r="G6" i="20"/>
  <c r="C6" i="20"/>
  <c r="U20" i="16"/>
  <c r="T48" i="16"/>
  <c r="T20" i="16"/>
  <c r="W48" i="16"/>
  <c r="W20" i="16"/>
  <c r="R48" i="16"/>
  <c r="R20" i="16"/>
  <c r="Q48" i="16"/>
  <c r="Q20" i="16"/>
  <c r="P48" i="16"/>
  <c r="P20" i="16"/>
  <c r="O48" i="16"/>
  <c r="O20" i="16"/>
  <c r="I3" i="16"/>
  <c r="I4" i="16"/>
  <c r="C3" i="16"/>
  <c r="C4" i="16"/>
  <c r="G3" i="16"/>
  <c r="G4" i="16"/>
  <c r="G2" i="16"/>
  <c r="N48" i="16"/>
  <c r="N20" i="16"/>
  <c r="N13" i="16"/>
  <c r="C16" i="1"/>
  <c r="G16" i="1"/>
  <c r="I13" i="16"/>
  <c r="K13" i="16" s="1"/>
  <c r="G35" i="1"/>
  <c r="C224" i="6" l="1"/>
  <c r="C222" i="6"/>
  <c r="C30" i="35"/>
  <c r="G363" i="6"/>
  <c r="I364" i="6"/>
  <c r="G362" i="6"/>
  <c r="I363" i="6"/>
  <c r="C363" i="6"/>
  <c r="I362" i="6"/>
  <c r="C364" i="6"/>
  <c r="K236" i="6"/>
  <c r="I10" i="6"/>
  <c r="I11" i="6" s="1"/>
  <c r="C10" i="6"/>
  <c r="C37" i="18"/>
  <c r="C39" i="18" s="1"/>
  <c r="C33" i="31"/>
  <c r="C34" i="32"/>
  <c r="I19" i="1"/>
  <c r="K19" i="1" s="1"/>
  <c r="K9" i="31"/>
  <c r="C19" i="1"/>
  <c r="C35" i="31"/>
  <c r="I16" i="1"/>
  <c r="K16" i="1" s="1"/>
  <c r="K16" i="4"/>
  <c r="I29" i="20"/>
  <c r="I38" i="1" s="1"/>
  <c r="K38" i="1" s="1"/>
  <c r="K27" i="20"/>
  <c r="I13" i="1"/>
  <c r="K13" i="1" s="1"/>
  <c r="M13" i="21"/>
  <c r="I48" i="2"/>
  <c r="K10" i="2"/>
  <c r="I11" i="1"/>
  <c r="K11" i="1" s="1"/>
  <c r="K11" i="3"/>
  <c r="C21" i="1"/>
  <c r="E42" i="21"/>
  <c r="E39" i="10"/>
  <c r="C29" i="20"/>
  <c r="C31" i="20" s="1"/>
  <c r="I12" i="1"/>
  <c r="K12" i="1" s="1"/>
  <c r="K11" i="32"/>
  <c r="I14" i="1"/>
  <c r="K14" i="1" s="1"/>
  <c r="K9" i="34"/>
  <c r="K17" i="1"/>
  <c r="K18" i="1"/>
  <c r="I290" i="6"/>
  <c r="K290" i="6" s="1"/>
  <c r="I256" i="6"/>
  <c r="K256" i="6" s="1"/>
  <c r="I175" i="6"/>
  <c r="K175" i="6" s="1"/>
  <c r="I204" i="6"/>
  <c r="K204" i="6" s="1"/>
  <c r="I37" i="18"/>
  <c r="G364" i="6"/>
  <c r="G212" i="6"/>
  <c r="I21" i="1"/>
  <c r="K21" i="1" s="1"/>
  <c r="I39" i="18"/>
  <c r="K39" i="18" s="1"/>
  <c r="I33" i="31"/>
  <c r="C11" i="6"/>
  <c r="C42" i="6" s="1"/>
  <c r="G181" i="6"/>
  <c r="G326" i="6"/>
  <c r="I182" i="6"/>
  <c r="I327" i="6"/>
  <c r="G182" i="6"/>
  <c r="G327" i="6"/>
  <c r="C182" i="6"/>
  <c r="C327" i="6"/>
  <c r="G183" i="6"/>
  <c r="G328" i="6"/>
  <c r="I183" i="6"/>
  <c r="I328" i="6"/>
  <c r="I181" i="6"/>
  <c r="I326" i="6"/>
  <c r="C183" i="6"/>
  <c r="C328" i="6"/>
  <c r="C42" i="5"/>
  <c r="C35" i="1" s="1"/>
  <c r="I231" i="6"/>
  <c r="I298" i="6"/>
  <c r="G86" i="6"/>
  <c r="G263" i="6"/>
  <c r="C38" i="3"/>
  <c r="G48" i="6"/>
  <c r="G211" i="6"/>
  <c r="G231" i="6"/>
  <c r="I23" i="1"/>
  <c r="K23" i="1" s="1"/>
  <c r="I48" i="16"/>
  <c r="K48" i="16" s="1"/>
  <c r="C35" i="33"/>
  <c r="C37" i="33" s="1"/>
  <c r="E35" i="33"/>
  <c r="E37" i="33" s="1"/>
  <c r="C297" i="6"/>
  <c r="I211" i="6"/>
  <c r="G232" i="6"/>
  <c r="I44" i="5"/>
  <c r="K44" i="5" s="1"/>
  <c r="G210" i="6"/>
  <c r="I297" i="6"/>
  <c r="D35" i="33"/>
  <c r="D37" i="33" s="1"/>
  <c r="I48" i="6"/>
  <c r="G230" i="6"/>
  <c r="G262" i="6"/>
  <c r="G296" i="6"/>
  <c r="C54" i="16"/>
  <c r="G47" i="6"/>
  <c r="I86" i="6"/>
  <c r="I263" i="6"/>
  <c r="C23" i="1"/>
  <c r="I36" i="32"/>
  <c r="K36" i="32" s="1"/>
  <c r="C212" i="6"/>
  <c r="G85" i="6"/>
  <c r="I210" i="6"/>
  <c r="C49" i="6"/>
  <c r="C87" i="6"/>
  <c r="I212" i="6"/>
  <c r="I230" i="6"/>
  <c r="I262" i="6"/>
  <c r="G297" i="6"/>
  <c r="I296" i="6"/>
  <c r="C86" i="6"/>
  <c r="G87" i="6"/>
  <c r="C263" i="6"/>
  <c r="G298" i="6"/>
  <c r="C211" i="6"/>
  <c r="C48" i="6"/>
  <c r="G49" i="6"/>
  <c r="C231" i="6"/>
  <c r="G79" i="6"/>
  <c r="G81" i="6" s="1"/>
  <c r="I79" i="6"/>
  <c r="I81" i="6" s="1"/>
  <c r="C258" i="6"/>
  <c r="C128" i="6"/>
  <c r="G148" i="6"/>
  <c r="I38" i="3"/>
  <c r="K38" i="3" s="1"/>
  <c r="K44" i="21"/>
  <c r="M44" i="21" s="1"/>
  <c r="K39" i="10"/>
  <c r="I32" i="34"/>
  <c r="E41" i="10"/>
  <c r="E44" i="21"/>
  <c r="C36" i="3"/>
  <c r="C28" i="1" s="1"/>
  <c r="C45" i="2"/>
  <c r="C27" i="1" s="1"/>
  <c r="C34" i="34"/>
  <c r="C36" i="32"/>
  <c r="C39" i="1"/>
  <c r="I40" i="4"/>
  <c r="K40" i="4" s="1"/>
  <c r="I42" i="5"/>
  <c r="K42" i="5" s="1"/>
  <c r="C44" i="5"/>
  <c r="C40" i="4"/>
  <c r="I232" i="6"/>
  <c r="I129" i="6"/>
  <c r="I149" i="6"/>
  <c r="I49" i="6"/>
  <c r="I87" i="6"/>
  <c r="I264" i="6"/>
  <c r="G129" i="6"/>
  <c r="G264" i="6"/>
  <c r="C232" i="6"/>
  <c r="C264" i="6"/>
  <c r="C298" i="6"/>
  <c r="G127" i="6"/>
  <c r="I47" i="6"/>
  <c r="I85" i="6"/>
  <c r="R54" i="16"/>
  <c r="T54" i="16"/>
  <c r="O50" i="16"/>
  <c r="O54" i="16"/>
  <c r="Q54" i="16"/>
  <c r="T50" i="16"/>
  <c r="U54" i="16"/>
  <c r="W54" i="16"/>
  <c r="I34" i="32"/>
  <c r="I36" i="3"/>
  <c r="K36" i="3" s="1"/>
  <c r="N54" i="16"/>
  <c r="I38" i="4"/>
  <c r="I147" i="6"/>
  <c r="I128" i="6"/>
  <c r="G50" i="16"/>
  <c r="G41" i="1" s="1"/>
  <c r="G54" i="16"/>
  <c r="N50" i="16"/>
  <c r="U50" i="16"/>
  <c r="P50" i="16"/>
  <c r="W50" i="16"/>
  <c r="R50" i="16"/>
  <c r="Q50" i="16"/>
  <c r="S50" i="16"/>
  <c r="I20" i="16"/>
  <c r="K20" i="16" s="1"/>
  <c r="S54" i="16"/>
  <c r="P54" i="16"/>
  <c r="C50" i="16"/>
  <c r="C41" i="1" s="1"/>
  <c r="C33" i="1"/>
  <c r="K41" i="10"/>
  <c r="M41" i="10" s="1"/>
  <c r="C79" i="6"/>
  <c r="C81" i="6" s="1"/>
  <c r="I320" i="6"/>
  <c r="K320" i="6" s="1"/>
  <c r="C320" i="6"/>
  <c r="I22" i="6"/>
  <c r="K22" i="6" s="1"/>
  <c r="I121" i="6"/>
  <c r="K121" i="6" s="1"/>
  <c r="I18" i="6"/>
  <c r="K18" i="6" s="1"/>
  <c r="C121" i="6"/>
  <c r="C123" i="6" s="1"/>
  <c r="I45" i="7"/>
  <c r="K45" i="7" s="1"/>
  <c r="I43" i="7"/>
  <c r="C43" i="7"/>
  <c r="C36" i="1" s="1"/>
  <c r="C45" i="7"/>
  <c r="C38" i="4"/>
  <c r="C34" i="1" s="1"/>
  <c r="C32" i="1"/>
  <c r="I30" i="35"/>
  <c r="C31" i="1"/>
  <c r="C30" i="1"/>
  <c r="K42" i="21"/>
  <c r="C29" i="1"/>
  <c r="G27" i="1"/>
  <c r="I45" i="2"/>
  <c r="K45" i="2" s="1"/>
  <c r="I49" i="2"/>
  <c r="C129" i="6"/>
  <c r="C149" i="6"/>
  <c r="I127" i="6"/>
  <c r="G128" i="6"/>
  <c r="G147" i="6"/>
  <c r="C148" i="6"/>
  <c r="I148" i="6"/>
  <c r="G149" i="6"/>
  <c r="C38" i="1" l="1"/>
  <c r="K29" i="20"/>
  <c r="K10" i="6"/>
  <c r="I34" i="1"/>
  <c r="K34" i="1" s="1"/>
  <c r="K38" i="4"/>
  <c r="I33" i="1"/>
  <c r="K33" i="1" s="1"/>
  <c r="M39" i="10"/>
  <c r="I30" i="1"/>
  <c r="K30" i="1" s="1"/>
  <c r="M42" i="21"/>
  <c r="I258" i="6"/>
  <c r="K258" i="6" s="1"/>
  <c r="I39" i="1"/>
  <c r="K39" i="1" s="1"/>
  <c r="K37" i="18"/>
  <c r="I35" i="31"/>
  <c r="K35" i="31" s="1"/>
  <c r="K33" i="31"/>
  <c r="I36" i="1"/>
  <c r="K36" i="1" s="1"/>
  <c r="K43" i="7"/>
  <c r="I35" i="1"/>
  <c r="K35" i="1" s="1"/>
  <c r="I32" i="1"/>
  <c r="K32" i="1" s="1"/>
  <c r="K32" i="34"/>
  <c r="I31" i="1"/>
  <c r="K31" i="1" s="1"/>
  <c r="K30" i="35"/>
  <c r="I29" i="1"/>
  <c r="K29" i="1" s="1"/>
  <c r="K34" i="32"/>
  <c r="I28" i="1"/>
  <c r="K28" i="1" s="1"/>
  <c r="I177" i="6"/>
  <c r="K177" i="6" s="1"/>
  <c r="I292" i="6"/>
  <c r="K292" i="6" s="1"/>
  <c r="I206" i="6"/>
  <c r="K206" i="6" s="1"/>
  <c r="I123" i="6"/>
  <c r="K123" i="6" s="1"/>
  <c r="I37" i="1"/>
  <c r="K37" i="1" s="1"/>
  <c r="I10" i="1"/>
  <c r="I51" i="2"/>
  <c r="I322" i="6"/>
  <c r="K322" i="6" s="1"/>
  <c r="I38" i="6"/>
  <c r="K38" i="6" s="1"/>
  <c r="C22" i="1"/>
  <c r="I54" i="16"/>
  <c r="K54" i="16" s="1"/>
  <c r="I50" i="16"/>
  <c r="I27" i="1"/>
  <c r="K27" i="1" s="1"/>
  <c r="I32" i="35"/>
  <c r="K32" i="35" s="1"/>
  <c r="I34" i="34"/>
  <c r="K34" i="34" s="1"/>
  <c r="C37" i="1"/>
  <c r="G49" i="2"/>
  <c r="K49" i="2" s="1"/>
  <c r="C322" i="6"/>
  <c r="C40" i="1"/>
  <c r="C32" i="35"/>
  <c r="C49" i="2"/>
  <c r="I41" i="1" l="1"/>
  <c r="K41" i="1" s="1"/>
  <c r="K50" i="16"/>
  <c r="I22" i="1"/>
  <c r="K22" i="1" s="1"/>
  <c r="K11" i="6"/>
  <c r="C43" i="1"/>
  <c r="G10" i="1"/>
  <c r="K10" i="1" s="1"/>
  <c r="G51" i="2"/>
  <c r="K51" i="2" s="1"/>
  <c r="C10" i="1"/>
  <c r="C24" i="1" s="1"/>
  <c r="C51" i="2"/>
  <c r="G40" i="1"/>
  <c r="G43" i="1" s="1"/>
  <c r="I40" i="6"/>
  <c r="K40" i="6" s="1"/>
  <c r="C45" i="1" l="1"/>
  <c r="C48" i="1" s="1"/>
  <c r="I42" i="6"/>
  <c r="K42" i="6" s="1"/>
  <c r="I40" i="1"/>
  <c r="K40" i="1" s="1"/>
  <c r="I43" i="1" l="1"/>
  <c r="K43" i="1" s="1"/>
  <c r="I31" i="20"/>
  <c r="I9" i="20"/>
  <c r="I20" i="1" s="1"/>
  <c r="I24" i="1" s="1"/>
  <c r="G9" i="20"/>
  <c r="G31" i="20" s="1"/>
  <c r="K31" i="20" s="1"/>
  <c r="I45" i="1" l="1"/>
  <c r="I48" i="1" s="1"/>
  <c r="G20" i="1"/>
  <c r="G24" i="1" s="1"/>
  <c r="G45" i="1" l="1"/>
  <c r="G48" i="1" s="1"/>
  <c r="K24" i="1"/>
</calcChain>
</file>

<file path=xl/comments1.xml><?xml version="1.0" encoding="utf-8"?>
<comments xmlns="http://schemas.openxmlformats.org/spreadsheetml/2006/main">
  <authors>
    <author>wahlm</author>
  </authors>
  <commentList>
    <comment ref="A3" authorId="0">
      <text>
        <r>
          <rPr>
            <b/>
            <sz val="8"/>
            <color indexed="81"/>
            <rFont val="Tahoma"/>
            <family val="2"/>
          </rPr>
          <t>wahlm:</t>
        </r>
        <r>
          <rPr>
            <sz val="8"/>
            <color indexed="81"/>
            <rFont val="Tahoma"/>
            <family val="2"/>
          </rPr>
          <t xml:space="preserve">
This is a PROPOSED Index swapping funding from ADM, PCA, 74F, 020. Those exchanges of funding ARE NOT YET REFLECTED in the summary-level budgets.</t>
        </r>
      </text>
    </comment>
  </commentList>
</comments>
</file>

<file path=xl/sharedStrings.xml><?xml version="1.0" encoding="utf-8"?>
<sst xmlns="http://schemas.openxmlformats.org/spreadsheetml/2006/main" count="898" uniqueCount="437">
  <si>
    <t>O.  S.  U.</t>
  </si>
  <si>
    <t>APPROVED</t>
  </si>
  <si>
    <t>ACTUAL</t>
  </si>
  <si>
    <t>BUDGET</t>
  </si>
  <si>
    <t>RECEIPTS</t>
  </si>
  <si>
    <t>Administration</t>
  </si>
  <si>
    <t>Craft Center</t>
  </si>
  <si>
    <t>Concourse Exhibits</t>
  </si>
  <si>
    <t>M.U. East</t>
  </si>
  <si>
    <t xml:space="preserve">     Total Receipts</t>
  </si>
  <si>
    <t>DISBURSEMENTS</t>
  </si>
  <si>
    <t>M.U. Technology</t>
  </si>
  <si>
    <t>Total Disbursements</t>
  </si>
  <si>
    <t>STUDENT FEES</t>
  </si>
  <si>
    <t>Fall, Winter, Spring</t>
  </si>
  <si>
    <t>Summer</t>
  </si>
  <si>
    <t>Total Fee income</t>
  </si>
  <si>
    <t>ENROLLMENT</t>
  </si>
  <si>
    <t>COST PER STUDENT PER TERM:</t>
  </si>
  <si>
    <t>Income</t>
  </si>
  <si>
    <t>Total Income</t>
  </si>
  <si>
    <t>Staff Unclassified</t>
  </si>
  <si>
    <t>Graduate Assistants</t>
  </si>
  <si>
    <t>Total Salaries</t>
  </si>
  <si>
    <t>OPE</t>
  </si>
  <si>
    <t>Other Payroll Expenses</t>
  </si>
  <si>
    <t>Graduate Fee Remission</t>
  </si>
  <si>
    <t>Other Expenses</t>
  </si>
  <si>
    <t>Communications</t>
  </si>
  <si>
    <t>Advertising</t>
  </si>
  <si>
    <t>Misc Services</t>
  </si>
  <si>
    <t>Retiree Health Benefits</t>
  </si>
  <si>
    <t>TOTAL Other Expenses</t>
  </si>
  <si>
    <t>Total Expenses</t>
  </si>
  <si>
    <t>Transfers In From Student Fees</t>
  </si>
  <si>
    <t>Total Revenue</t>
  </si>
  <si>
    <t>INCOME - EXPENSES +/- Transfers</t>
  </si>
  <si>
    <t>Salaries - Wages</t>
  </si>
  <si>
    <t>Total OPE</t>
  </si>
  <si>
    <t>Gas</t>
  </si>
  <si>
    <t>Steam</t>
  </si>
  <si>
    <t>Water</t>
  </si>
  <si>
    <t>Sewage</t>
  </si>
  <si>
    <t>Garbage</t>
  </si>
  <si>
    <t>Early Retire Health Benefits</t>
  </si>
  <si>
    <t xml:space="preserve">Travel </t>
  </si>
  <si>
    <t>INCOME - EXPENSES</t>
  </si>
  <si>
    <t>Staff Classified - regular</t>
  </si>
  <si>
    <t>Student Pay</t>
  </si>
  <si>
    <t xml:space="preserve">General Supplies    </t>
  </si>
  <si>
    <t>Minor Equipment</t>
  </si>
  <si>
    <t>Resale - Merchandise</t>
  </si>
  <si>
    <t>INCOME LESS EXPENSES</t>
  </si>
  <si>
    <t>Other Payroll Expenses (10901)</t>
  </si>
  <si>
    <t>MU Program Administration</t>
  </si>
  <si>
    <t>Staff Classified</t>
  </si>
  <si>
    <t>Student Pay -     Regular</t>
  </si>
  <si>
    <t>General Supplies         Office&amp; Admin</t>
  </si>
  <si>
    <t>Operating</t>
  </si>
  <si>
    <t xml:space="preserve">Postage &amp; Shipping </t>
  </si>
  <si>
    <t xml:space="preserve">Equipment Maintentance </t>
  </si>
  <si>
    <t>Equipment Rentals</t>
  </si>
  <si>
    <t>Misc Fees-                 Copy Expense</t>
  </si>
  <si>
    <t>Printing</t>
  </si>
  <si>
    <t>Waste Disposal</t>
  </si>
  <si>
    <t>TOTAL EXPENSES</t>
  </si>
  <si>
    <t>Java Stop</t>
  </si>
  <si>
    <t>Pangea</t>
  </si>
  <si>
    <t>Java II</t>
  </si>
  <si>
    <t>Staff Unclassifed</t>
  </si>
  <si>
    <t xml:space="preserve">                        overtime</t>
  </si>
  <si>
    <t>Credit Card / AR Expense</t>
  </si>
  <si>
    <t>Advertising / copy / printing</t>
  </si>
  <si>
    <t>Resale - Supplies</t>
  </si>
  <si>
    <t xml:space="preserve">           - Food</t>
  </si>
  <si>
    <t>MU Building Contribution</t>
  </si>
  <si>
    <t>Total Other Expenses</t>
  </si>
  <si>
    <t>Sales &amp; Service Revenue</t>
  </si>
  <si>
    <t>Performance Fees</t>
  </si>
  <si>
    <t>Custodial</t>
  </si>
  <si>
    <t>Building Services</t>
  </si>
  <si>
    <t>Travel</t>
  </si>
  <si>
    <t>MUN010</t>
  </si>
  <si>
    <t xml:space="preserve">Other Payroll Expenses </t>
  </si>
  <si>
    <t>Depreciation</t>
  </si>
  <si>
    <t>M.U. Retail Food Service</t>
  </si>
  <si>
    <t xml:space="preserve"> Operations</t>
  </si>
  <si>
    <t>MU Retail Food</t>
  </si>
  <si>
    <t>MU Retail Food Service</t>
  </si>
  <si>
    <t>Other Services</t>
  </si>
  <si>
    <t>Hosting Groups&amp;Guests</t>
  </si>
  <si>
    <t>MURFS Total</t>
  </si>
  <si>
    <t>Dixon</t>
  </si>
  <si>
    <t>Café</t>
  </si>
  <si>
    <t>Laundry</t>
  </si>
  <si>
    <t>Store</t>
  </si>
  <si>
    <t>Non-Budgeted</t>
  </si>
  <si>
    <t>MU Marketing and Assessment</t>
  </si>
  <si>
    <t>Kelly</t>
  </si>
  <si>
    <t>Eng. Bld</t>
  </si>
  <si>
    <t>OUS Mandated Depreciation</t>
  </si>
  <si>
    <t>Cost Recovery from other areas</t>
  </si>
  <si>
    <t>Transfers to Reserves</t>
  </si>
  <si>
    <t>Maintenance</t>
  </si>
  <si>
    <t xml:space="preserve"> </t>
  </si>
  <si>
    <t>MU Facilities Operations</t>
  </si>
  <si>
    <t>MU Facilities Maintenance</t>
  </si>
  <si>
    <t>Event Services</t>
  </si>
  <si>
    <t>Rent</t>
  </si>
  <si>
    <t>Marketing / Graphic Arts</t>
  </si>
  <si>
    <t>Credit Card Fees</t>
  </si>
  <si>
    <t>Student Payroll</t>
  </si>
  <si>
    <t>Renovations - Code Compliance</t>
  </si>
  <si>
    <t>INCOME LESS EXPENSES&amp;RESERVES</t>
  </si>
  <si>
    <t>Requested</t>
  </si>
  <si>
    <t>Consolidated Programs</t>
  </si>
  <si>
    <t>Custodial - Contract</t>
  </si>
  <si>
    <t>In-State Employee Travel</t>
  </si>
  <si>
    <t>MUNPCA</t>
  </si>
  <si>
    <t>Student Leadership &amp; Involvement</t>
  </si>
  <si>
    <t>Assessments</t>
  </si>
  <si>
    <t>Student Leadership</t>
  </si>
  <si>
    <t>Misc Fees-                   Print &amp; Copy</t>
  </si>
  <si>
    <t>Java</t>
  </si>
  <si>
    <t>Cart</t>
  </si>
  <si>
    <t>Buenos</t>
  </si>
  <si>
    <t>Burrito</t>
  </si>
  <si>
    <t>Bites</t>
  </si>
  <si>
    <t>Student Fees</t>
  </si>
  <si>
    <t>Student Pay - Fall Term</t>
  </si>
  <si>
    <t>Fall                    Dads Comedy Show</t>
  </si>
  <si>
    <t>Winter Term</t>
  </si>
  <si>
    <t>Spring               Mom's Comedy Show</t>
  </si>
  <si>
    <t>Festival</t>
  </si>
  <si>
    <t>Fashion Show</t>
  </si>
  <si>
    <t>Misc events Moms</t>
  </si>
  <si>
    <t>Civil War</t>
  </si>
  <si>
    <t>Misc events Dads</t>
  </si>
  <si>
    <t>Fall                            Dads Comedian</t>
  </si>
  <si>
    <t>Rentals</t>
  </si>
  <si>
    <t>Spring                     Mom's Comedian</t>
  </si>
  <si>
    <t>Small Programs</t>
  </si>
  <si>
    <t>Men's Leadership</t>
  </si>
  <si>
    <t>Marketing</t>
  </si>
  <si>
    <t>Homecoming Civil War</t>
  </si>
  <si>
    <t>Co sponsored programs</t>
  </si>
  <si>
    <t>MUPC detail by term / major events</t>
  </si>
  <si>
    <t>LSC</t>
  </si>
  <si>
    <t>Misc Rentals, limo</t>
  </si>
  <si>
    <t>Misc Events, Items for resale</t>
  </si>
  <si>
    <t>Children's Holiday Event</t>
  </si>
  <si>
    <t>Winter Term         Womens Leadership</t>
  </si>
  <si>
    <t>Snow in the Quad</t>
  </si>
  <si>
    <t>Concerts -             Sound, Light, Stage</t>
  </si>
  <si>
    <t>Booking Fees</t>
  </si>
  <si>
    <t>General</t>
  </si>
  <si>
    <t>MU Facilities Operations &amp; Maint</t>
  </si>
  <si>
    <t>Travel - Elect Shop Truck</t>
  </si>
  <si>
    <t>2010-11</t>
  </si>
  <si>
    <t>2011 -12</t>
  </si>
  <si>
    <t>Linus</t>
  </si>
  <si>
    <t>Pauling</t>
  </si>
  <si>
    <t>RFS Admin</t>
  </si>
  <si>
    <t>Catering Income</t>
  </si>
  <si>
    <t>Recreation Center/Basement</t>
  </si>
  <si>
    <t>MU Basement</t>
  </si>
  <si>
    <t>M.U. Student Media</t>
  </si>
  <si>
    <t>PERCENT</t>
  </si>
  <si>
    <t>CHANGE</t>
  </si>
  <si>
    <t>REQUESTED</t>
  </si>
  <si>
    <t>2012 -13</t>
  </si>
  <si>
    <t>FY12/FY13</t>
  </si>
  <si>
    <t xml:space="preserve">10501 - Student Pay </t>
  </si>
  <si>
    <t>05xxx - Interest Income</t>
  </si>
  <si>
    <t>101xx - Staff Unclassified</t>
  </si>
  <si>
    <t>109xx - Other Payroll Expenses</t>
  </si>
  <si>
    <t>103xx - Staff Classified</t>
  </si>
  <si>
    <t>20xxx - Office/Operating Supplies</t>
  </si>
  <si>
    <t>20200 - Minor Equipment</t>
  </si>
  <si>
    <t>22010 - Communications/Telecom</t>
  </si>
  <si>
    <t>225xx - Postage &amp; Shipping</t>
  </si>
  <si>
    <t>24101 - Equipment Rental</t>
  </si>
  <si>
    <t>246xx - Printing &amp;Copy</t>
  </si>
  <si>
    <t>24612 - Advertising</t>
  </si>
  <si>
    <t>24999 - Misc Services</t>
  </si>
  <si>
    <t>28601 - Conference Regist</t>
  </si>
  <si>
    <t>28612 - Public Relations / Hosting Guests</t>
  </si>
  <si>
    <t>39xxx - Travel</t>
  </si>
  <si>
    <t>235xx - Equipment Maintentance</t>
  </si>
  <si>
    <t xml:space="preserve">     28020 - State Government</t>
  </si>
  <si>
    <t xml:space="preserve">     28003 - Sec of State Audit</t>
  </si>
  <si>
    <t xml:space="preserve">     28703 - Property Tax</t>
  </si>
  <si>
    <t xml:space="preserve">     28061 - Property Insurance</t>
  </si>
  <si>
    <t xml:space="preserve">     28101 - Centralized Activities</t>
  </si>
  <si>
    <t xml:space="preserve">     28060 - Tort Liability</t>
  </si>
  <si>
    <t xml:space="preserve">     28204 - OSU General Admin</t>
  </si>
  <si>
    <t>MUNADM - Memorial Union Administration</t>
  </si>
  <si>
    <t>MUNBLD - Memorial Union Building Services</t>
  </si>
  <si>
    <t>06xxx - Miscellaneous Sales &amp; Svc</t>
  </si>
  <si>
    <t>20xxx - Operating Supplies</t>
  </si>
  <si>
    <t>22010 - Communications</t>
  </si>
  <si>
    <t xml:space="preserve">39xxx - Travel </t>
  </si>
  <si>
    <t>235xx - Equipment Maintenance</t>
  </si>
  <si>
    <t>09xxx - Misc Reimbursements</t>
  </si>
  <si>
    <t>08001 - ATM Leases</t>
  </si>
  <si>
    <t xml:space="preserve">06004 - Vending Income   </t>
  </si>
  <si>
    <t>91xxx - MU Retail Foods</t>
  </si>
  <si>
    <t>245xx - Fees &amp; Services</t>
  </si>
  <si>
    <t>28xxx - Public Relations</t>
  </si>
  <si>
    <t>28204 - Overhead to AABC</t>
  </si>
  <si>
    <t>MUNAVS - Memorial Union Event Services</t>
  </si>
  <si>
    <t>06901/09392 - Technical Services/Set Ups</t>
  </si>
  <si>
    <t>06060/09313 - Equipment Rental</t>
  </si>
  <si>
    <t>06723/09391 - Rental Income Facility</t>
  </si>
  <si>
    <t>103xx - Staff Classified - regular</t>
  </si>
  <si>
    <t>10501 - Student Pay</t>
  </si>
  <si>
    <t>24510 - Laundry</t>
  </si>
  <si>
    <t>235xx - A/V Equip Repair/Upgrades</t>
  </si>
  <si>
    <t>24520 - Security Services for Student Orgs</t>
  </si>
  <si>
    <t>24999 - Misc Fees &amp; Services</t>
  </si>
  <si>
    <t>MUNADM - Administration</t>
  </si>
  <si>
    <t>MUNBLD - Building Services</t>
  </si>
  <si>
    <t>MUNAVS - Event Services</t>
  </si>
  <si>
    <t>MUNFAC - Memorial Union Facility Operations</t>
  </si>
  <si>
    <t>06949 - Bookstore Rent</t>
  </si>
  <si>
    <t>08001 - Private Mail Boxes/ Misc Leases</t>
  </si>
  <si>
    <t>06727 - Branded Lease Base Rent</t>
  </si>
  <si>
    <t>06723 - Hair Salon/Misc Leases</t>
  </si>
  <si>
    <t xml:space="preserve">06901 - Misc </t>
  </si>
  <si>
    <t xml:space="preserve">20xxx - General Supplies - Operating   </t>
  </si>
  <si>
    <t>22xxx - Communications</t>
  </si>
  <si>
    <t>28203 - Assessments - OSU Facility Services</t>
  </si>
  <si>
    <t>28814 - Other Services  -  Interest Expense</t>
  </si>
  <si>
    <t>92001 - Transfer to Building Reserve</t>
  </si>
  <si>
    <t>92001 - Transfer to Equipment Reserve</t>
  </si>
  <si>
    <t>28804 - Loan Repayment</t>
  </si>
  <si>
    <t>06004 - Beverage Partnership</t>
  </si>
  <si>
    <t xml:space="preserve">General Supplies </t>
  </si>
  <si>
    <t xml:space="preserve">           20xxx/23522 - Parts &amp; Service   </t>
  </si>
  <si>
    <t xml:space="preserve">           20200 - Minor Equip</t>
  </si>
  <si>
    <t xml:space="preserve">           23501 - Equipment</t>
  </si>
  <si>
    <t xml:space="preserve">           23502 - Building</t>
  </si>
  <si>
    <t xml:space="preserve">92xxx - Remodel Budget                </t>
  </si>
  <si>
    <t>23xxx - Custodial</t>
  </si>
  <si>
    <t xml:space="preserve">28xxx/39xxx - Travel / Training </t>
  </si>
  <si>
    <t>09xxx/79xxx - Other</t>
  </si>
  <si>
    <t>91001 - MU East</t>
  </si>
  <si>
    <t>102xx - Staff Unclassified</t>
  </si>
  <si>
    <t>10501 - Student</t>
  </si>
  <si>
    <t>20xxx - General Supplies  - Operating</t>
  </si>
  <si>
    <t>235xx - Maintenance</t>
  </si>
  <si>
    <t xml:space="preserve">24510 - Laundry          </t>
  </si>
  <si>
    <t>23530 - Contracted Out Custodial</t>
  </si>
  <si>
    <t>24xxx - Misc. Services &amp; Supplies</t>
  </si>
  <si>
    <t>MUNREP - Memorial Union Facility Maintenance</t>
  </si>
  <si>
    <t>MUNCUS - Memorial Union Custodial</t>
  </si>
  <si>
    <t>MUNEST - Memorial Union East</t>
  </si>
  <si>
    <t>10103 - Staff Unclassified</t>
  </si>
  <si>
    <t>10301 - Staff Classified</t>
  </si>
  <si>
    <t>20102 - General Supplies  - Operating</t>
  </si>
  <si>
    <t>MUNLAN - MU Basement</t>
  </si>
  <si>
    <t>06072 - Billards</t>
  </si>
  <si>
    <t>79xxx/06723 - Facility Rental</t>
  </si>
  <si>
    <t>09391 -  PACC Classes</t>
  </si>
  <si>
    <t>06998 - Cash Over &amp; Short</t>
  </si>
  <si>
    <t>06398 - Bowling</t>
  </si>
  <si>
    <t>06004 - Amusement Machines</t>
  </si>
  <si>
    <t>06313 - Locker Rental</t>
  </si>
  <si>
    <t>06003/08001 - Misc Fees/Svcs</t>
  </si>
  <si>
    <t>09xxx - Internal Special Events</t>
  </si>
  <si>
    <t xml:space="preserve">20xxx - General Supplies    </t>
  </si>
  <si>
    <t>20200 - Minor Equip., Pins,Balls,Shoes</t>
  </si>
  <si>
    <t>235xx - Equipment Speciality parts</t>
  </si>
  <si>
    <t>24602 - Printing &amp; Copy</t>
  </si>
  <si>
    <t>28710 - Credit Card Fees</t>
  </si>
  <si>
    <t>06xxx - Misc. Events</t>
  </si>
  <si>
    <t>Total Cost Recovery</t>
  </si>
  <si>
    <t>MUNCRA - MU Craft Center</t>
  </si>
  <si>
    <t>06002 - Sales</t>
  </si>
  <si>
    <t>06389 - Membership Fees</t>
  </si>
  <si>
    <t>06410 - Class Fees</t>
  </si>
  <si>
    <t>06499 - Other Events</t>
  </si>
  <si>
    <t>09313 - Rental Income</t>
  </si>
  <si>
    <t>09391 - Button Sales</t>
  </si>
  <si>
    <t>06xxx - Misc. Fees &amp; Svcs</t>
  </si>
  <si>
    <t>10410 - Temporary Employees</t>
  </si>
  <si>
    <t>105xx - Student Pay -  Regular</t>
  </si>
  <si>
    <t>20xxx - General Operating Supplies</t>
  </si>
  <si>
    <t>20117 - Class Supplies</t>
  </si>
  <si>
    <t>23002 - Utilities - Gas</t>
  </si>
  <si>
    <t>23501 - Equipment Maintentance</t>
  </si>
  <si>
    <t>246xx - Printing &amp; Copying</t>
  </si>
  <si>
    <t>24999/28613 - Misc Fees &amp; Svcs</t>
  </si>
  <si>
    <t>06xxx - Sales &amp; Services Revenue</t>
  </si>
  <si>
    <t>20117 - Art Supplies</t>
  </si>
  <si>
    <t>28612 - Hosting Groups&amp;Guests</t>
  </si>
  <si>
    <t xml:space="preserve">225xx - Postage &amp; Shipping </t>
  </si>
  <si>
    <t xml:space="preserve">235xx - Equipment Maintentance </t>
  </si>
  <si>
    <t>24602 - Copy Expense</t>
  </si>
  <si>
    <t>24599 - Professional Svcs</t>
  </si>
  <si>
    <t>MUN72F - Concourse Exhibits</t>
  </si>
  <si>
    <t>79392 - Sponsorship Income</t>
  </si>
  <si>
    <t>06xxx - Sales &amp; Service</t>
  </si>
  <si>
    <t>10501 - Student Pay - Regular</t>
  </si>
  <si>
    <t>10503 - Student Pay - Work Study</t>
  </si>
  <si>
    <t>20202 - Software</t>
  </si>
  <si>
    <t>24xxx - Misc Fees &amp; Services(web&amp;ebi)</t>
  </si>
  <si>
    <t>28601 - Training &amp; Travel</t>
  </si>
  <si>
    <t>246xx - Printing/Publishing/Photography</t>
  </si>
  <si>
    <t>MUNTEC - MU Technology</t>
  </si>
  <si>
    <t>61020 - Supplies for Resale - Art Supplies</t>
  </si>
  <si>
    <t>06xxx - Income</t>
  </si>
  <si>
    <t>20201 - Hardware</t>
  </si>
  <si>
    <t>22016/24503 - CommNet,Exchange,Server Backup</t>
  </si>
  <si>
    <t>20204 - Equip Maint - computers</t>
  </si>
  <si>
    <t>28xxx/39xxx - Travel &amp; Training</t>
  </si>
  <si>
    <t>06013 - Book Sales</t>
  </si>
  <si>
    <t>06003 - NWSP/Press Day/Workshop</t>
  </si>
  <si>
    <t>09108 - Directory Telecommunications</t>
  </si>
  <si>
    <t>101xx/102xx - Staff Unclassified</t>
  </si>
  <si>
    <t xml:space="preserve">20xxx - General Supplies   </t>
  </si>
  <si>
    <t>220xx - Communications</t>
  </si>
  <si>
    <t>241xx - Facility/Equip  Rentals</t>
  </si>
  <si>
    <t xml:space="preserve">24612 - Advertising      </t>
  </si>
  <si>
    <t>28601/39xxx - Travel &amp; Prof Development</t>
  </si>
  <si>
    <t>28612 - Hosting Groups/Guests</t>
  </si>
  <si>
    <t>28701 - Insurance</t>
  </si>
  <si>
    <t>MUNPUB - MU Student Media</t>
  </si>
  <si>
    <t>MUNSLI - Student Leadership Administration</t>
  </si>
  <si>
    <t>MUNCOD - Club &amp; Organization Development</t>
  </si>
  <si>
    <t>MUNSEA - Student Events &amp; Activities</t>
  </si>
  <si>
    <t>MUNSLD - Leadership Development</t>
  </si>
  <si>
    <t>MUNSSS - Student Support Services</t>
  </si>
  <si>
    <t>Miscellaneous Rentals &amp; Leases</t>
  </si>
  <si>
    <t>MUNCMS - Cultural Meal Support</t>
  </si>
  <si>
    <t>MUNTLB - Team Liberation</t>
  </si>
  <si>
    <t>MUNISO - International Student of OSU</t>
  </si>
  <si>
    <t>MUN74F - MUPC   PROGRAMS</t>
  </si>
  <si>
    <t>06xxx91xxx - Sales &amp; Svc Revenue</t>
  </si>
  <si>
    <t>06xxx - MUPC Programs</t>
  </si>
  <si>
    <t>06xxx - ISOSU</t>
  </si>
  <si>
    <t>10501 - Student Pay -     Regular</t>
  </si>
  <si>
    <t>106xx - Graduate Assistants</t>
  </si>
  <si>
    <t>10951 - Graduate Fee Remission</t>
  </si>
  <si>
    <t>91xxx - Transfer in from Fund Bal</t>
  </si>
  <si>
    <t>06xxx - Misc Sales/Svc Income</t>
  </si>
  <si>
    <t>101xx - Staff Unclassified Salaries</t>
  </si>
  <si>
    <t>103xx - Staff - Classified Salaries</t>
  </si>
  <si>
    <t>10620 - Graduate Teaching Assistants</t>
  </si>
  <si>
    <t>10951 - Graduate Asst. Fee Remission</t>
  </si>
  <si>
    <t>10951 - Grad Asst. Fee Remission</t>
  </si>
  <si>
    <t>20101 - Office&amp; Admin Supplies</t>
  </si>
  <si>
    <t xml:space="preserve">22502 - Postage &amp; Shipping </t>
  </si>
  <si>
    <t>24101/24151 - Facility/Equip Rentals</t>
  </si>
  <si>
    <t>24505/24599 - Performance Fees</t>
  </si>
  <si>
    <t>24602 - Print &amp; Copy</t>
  </si>
  <si>
    <t>24xxx - Other Services</t>
  </si>
  <si>
    <t>28204 - Assessments</t>
  </si>
  <si>
    <t>286xx/39xxx - Travel &amp; Training</t>
  </si>
  <si>
    <t>06xxx - Miscellaneous</t>
  </si>
  <si>
    <t>24101/24103 - Equipment Rental</t>
  </si>
  <si>
    <t>24602 - Printing &amp; Copying</t>
  </si>
  <si>
    <t>106xx - Graduate Teaching Assistants</t>
  </si>
  <si>
    <t>109xx - OPE Grad Assist and Fellows</t>
  </si>
  <si>
    <t>24xxx - Film/Equipment Rental</t>
  </si>
  <si>
    <t>06901 - Miscellaneous</t>
  </si>
  <si>
    <t>24101 - Equipment Rentals</t>
  </si>
  <si>
    <t>Contract Personal Services</t>
  </si>
  <si>
    <t>24199/24520 - Security Services/Rentals</t>
  </si>
  <si>
    <t>06723 - Rental Income/Facility Use</t>
  </si>
  <si>
    <t>09xxx/79xxx - Misc Internal Sales</t>
  </si>
  <si>
    <t>23501 - Equip Maintenance &amp; Repairs</t>
  </si>
  <si>
    <t>20252 - Automotive Fuels</t>
  </si>
  <si>
    <t>24510 - Laundry &amp; Dry Cleaning</t>
  </si>
  <si>
    <t>109xx - Other Payroll Expense</t>
  </si>
  <si>
    <t>220xx - Telecom</t>
  </si>
  <si>
    <t>22502 - Postage</t>
  </si>
  <si>
    <t>24101 - Equipment Rentals &amp; Leases</t>
  </si>
  <si>
    <t>24199 - Misc. Rentals &amp; Leases</t>
  </si>
  <si>
    <t>24602 - Duplicating &amp; Copying</t>
  </si>
  <si>
    <t>24612 - Public Relations/Fund raising</t>
  </si>
  <si>
    <t>28601 - Conference Registration</t>
  </si>
  <si>
    <t>06xxx - Workshop Income</t>
  </si>
  <si>
    <t>106xx - Grad Teaching Assistant Pay</t>
  </si>
  <si>
    <t>10951 - Graduate Asst Fee Remission</t>
  </si>
  <si>
    <t>24599 - Other Professional Services</t>
  </si>
  <si>
    <t>28xxx - Public Relations - Conferences</t>
  </si>
  <si>
    <t>24xxx - Rentals</t>
  </si>
  <si>
    <t>24602/24606 - Printing &amp; Copying</t>
  </si>
  <si>
    <t>286xx - Hosting &amp; Public Relations</t>
  </si>
  <si>
    <t>28xxx/39xxx - Training</t>
  </si>
  <si>
    <t>05xxx - Interest income</t>
  </si>
  <si>
    <t>06727 - Lease Income</t>
  </si>
  <si>
    <t>08001 - Shared Advertising</t>
  </si>
  <si>
    <t>06xxx - Retail Sales</t>
  </si>
  <si>
    <t>09xxx/79xxx - Misc Income</t>
  </si>
  <si>
    <t>105xx - Student Pay</t>
  </si>
  <si>
    <t>61021 - Supplies for Resale</t>
  </si>
  <si>
    <t>62007 - Food for Resale</t>
  </si>
  <si>
    <t>28601/39xx - Travel &amp; Conferences</t>
  </si>
  <si>
    <t>80500 - Equipment Reserve/Depreciation</t>
  </si>
  <si>
    <t>28710 - Credit Card / AR Exp / Interest</t>
  </si>
  <si>
    <t>235xx - Repairs</t>
  </si>
  <si>
    <t>23531 - Custodial</t>
  </si>
  <si>
    <t>23001/24199 - Leases / Rents / Utilities</t>
  </si>
  <si>
    <t>24602/24606 - Printing &amp; Promotions</t>
  </si>
  <si>
    <t>24999 - Assessments - I.D. Center</t>
  </si>
  <si>
    <t>280xx - State Assessments</t>
  </si>
  <si>
    <t>28204 - Business Center Assessment</t>
  </si>
  <si>
    <t>92005 - Transfer Out</t>
  </si>
  <si>
    <t>23513 - New Org Support Software Maint</t>
  </si>
  <si>
    <t>08001 - Property Tax</t>
  </si>
  <si>
    <t>MUN99F - Marketing, Assessments, &amp; Graphic Arts</t>
  </si>
  <si>
    <t>281xx - University Assessements</t>
  </si>
  <si>
    <t>06901/09108 - Advertising</t>
  </si>
  <si>
    <t>Forum Lease</t>
  </si>
  <si>
    <t>MU East</t>
  </si>
  <si>
    <t xml:space="preserve">Total Income </t>
  </si>
  <si>
    <t>105xx - Student Pay -  Work Study</t>
  </si>
  <si>
    <t xml:space="preserve"> Total OPE</t>
  </si>
  <si>
    <t>Sales</t>
  </si>
  <si>
    <t>103xx - Staff Classified - Regular &amp; Temp</t>
  </si>
  <si>
    <t xml:space="preserve">Gas    </t>
  </si>
  <si>
    <t>Building</t>
  </si>
  <si>
    <t xml:space="preserve">Custodial </t>
  </si>
  <si>
    <t>Bldg Reserves</t>
  </si>
  <si>
    <t>23xxx - Utilities - Electricity</t>
  </si>
  <si>
    <t>235xx - Maintenance - Equipment</t>
  </si>
  <si>
    <t>23xxx - Utilities - Electricty</t>
  </si>
  <si>
    <t>Memorial Union   2012 - 2013</t>
  </si>
  <si>
    <t>Lois Lessert appears to have changed from uclassified to classified as well as take a pay cut in the process.</t>
  </si>
  <si>
    <t>Didn't include Margaret Anderson's position currently being filled by temp Mark Dilson (I think).</t>
  </si>
  <si>
    <t>Vacant Position at entry level</t>
  </si>
  <si>
    <t>They might want to budget for a student…they are currently paying a student</t>
  </si>
  <si>
    <t>OPE for Vacant Position</t>
  </si>
  <si>
    <t>See above</t>
  </si>
  <si>
    <t>MUNCSC - Center for Student Engagement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</si>
</sst>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mm/dd/yy"/>
    <numFmt numFmtId="166" formatCode="#,##0.000_);[Red]\(#,##0.000\)"/>
    <numFmt numFmtId="167" formatCode="#,##0.0_);[Red]\(#,##0.0\)"/>
  </numFmts>
  <fonts count="24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Rounded MT Bold"/>
      <family val="2"/>
    </font>
    <font>
      <sz val="10"/>
      <name val="Arial Rounded MT Bold"/>
      <family val="2"/>
    </font>
    <font>
      <sz val="9"/>
      <name val="Arial"/>
      <family val="2"/>
    </font>
    <font>
      <u/>
      <sz val="10"/>
      <color indexed="12"/>
      <name val="MS Sans Serif"/>
      <family val="2"/>
    </font>
    <font>
      <b/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MS Sans Serif"/>
      <family val="2"/>
    </font>
    <font>
      <sz val="10"/>
      <color indexed="10"/>
      <name val="MS Sans Serif"/>
      <family val="2"/>
    </font>
    <font>
      <sz val="10"/>
      <color indexed="10"/>
      <name val="Arial Rounded MT Bold"/>
      <family val="2"/>
    </font>
    <font>
      <sz val="8"/>
      <name val="Arial"/>
      <family val="2"/>
    </font>
    <font>
      <sz val="8.5"/>
      <name val="MS Sans Serif"/>
      <family val="2"/>
    </font>
    <font>
      <sz val="9"/>
      <name val="MS Sans Serif"/>
      <family val="2"/>
    </font>
    <font>
      <b/>
      <sz val="9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0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330">
    <xf numFmtId="0" fontId="0" fillId="0" borderId="0" xfId="0"/>
    <xf numFmtId="4" fontId="6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Border="1" applyAlignment="1" applyProtection="1">
      <alignment horizontal="centerContinuous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4" fontId="6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centerContinuous"/>
    </xf>
    <xf numFmtId="0" fontId="6" fillId="0" borderId="1" xfId="0" applyNumberFormat="1" applyFont="1" applyFill="1" applyBorder="1" applyAlignment="1" applyProtection="1"/>
    <xf numFmtId="4" fontId="6" fillId="0" borderId="0" xfId="0" applyNumberFormat="1" applyFont="1" applyFill="1" applyBorder="1" applyAlignment="1" applyProtection="1">
      <alignment horizontal="centerContinuous"/>
    </xf>
    <xf numFmtId="4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/>
    </xf>
    <xf numFmtId="4" fontId="4" fillId="0" borderId="2" xfId="0" applyNumberFormat="1" applyFont="1" applyFill="1" applyBorder="1" applyAlignment="1" applyProtection="1">
      <alignment horizontal="right"/>
    </xf>
    <xf numFmtId="4" fontId="4" fillId="0" borderId="0" xfId="0" applyNumberFormat="1" applyFont="1" applyFill="1" applyBorder="1" applyAlignment="1" applyProtection="1">
      <alignment horizontal="right"/>
    </xf>
    <xf numFmtId="40" fontId="6" fillId="0" borderId="0" xfId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40" fontId="10" fillId="0" borderId="0" xfId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/>
    <xf numFmtId="9" fontId="4" fillId="0" borderId="0" xfId="0" applyNumberFormat="1" applyFont="1" applyFill="1" applyBorder="1" applyAlignment="1" applyProtection="1">
      <alignment horizontal="center"/>
    </xf>
    <xf numFmtId="40" fontId="10" fillId="0" borderId="3" xfId="1" applyFont="1" applyFill="1" applyBorder="1" applyAlignment="1" applyProtection="1">
      <alignment horizontal="right"/>
    </xf>
    <xf numFmtId="40" fontId="4" fillId="0" borderId="0" xfId="1" applyFont="1" applyFill="1" applyBorder="1" applyAlignment="1" applyProtection="1">
      <alignment horizontal="centerContinuous"/>
    </xf>
    <xf numFmtId="40" fontId="6" fillId="0" borderId="0" xfId="0" applyNumberFormat="1" applyFont="1" applyFill="1" applyBorder="1" applyAlignment="1" applyProtection="1"/>
    <xf numFmtId="0" fontId="12" fillId="0" borderId="0" xfId="0" applyFont="1"/>
    <xf numFmtId="40" fontId="4" fillId="0" borderId="2" xfId="1" applyFont="1" applyFill="1" applyBorder="1" applyAlignment="1" applyProtection="1">
      <alignment horizontal="right"/>
    </xf>
    <xf numFmtId="40" fontId="4" fillId="0" borderId="0" xfId="1" applyFont="1" applyFill="1" applyBorder="1" applyAlignment="1" applyProtection="1">
      <alignment horizontal="right"/>
    </xf>
    <xf numFmtId="40" fontId="0" fillId="0" borderId="0" xfId="1" applyFont="1" applyAlignment="1">
      <alignment horizontal="right"/>
    </xf>
    <xf numFmtId="40" fontId="5" fillId="0" borderId="0" xfId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right"/>
    </xf>
    <xf numFmtId="40" fontId="9" fillId="0" borderId="0" xfId="1" applyFont="1" applyFill="1" applyBorder="1" applyAlignment="1" applyProtection="1">
      <alignment horizontal="right"/>
    </xf>
    <xf numFmtId="40" fontId="8" fillId="0" borderId="0" xfId="1" applyFont="1" applyFill="1" applyBorder="1" applyAlignment="1" applyProtection="1">
      <alignment horizontal="right"/>
    </xf>
    <xf numFmtId="40" fontId="8" fillId="0" borderId="2" xfId="1" applyFont="1" applyFill="1" applyBorder="1" applyAlignment="1" applyProtection="1">
      <alignment horizontal="right"/>
    </xf>
    <xf numFmtId="40" fontId="11" fillId="0" borderId="0" xfId="1" applyFont="1" applyFill="1" applyBorder="1" applyAlignment="1" applyProtection="1">
      <alignment horizontal="right"/>
    </xf>
    <xf numFmtId="164" fontId="8" fillId="0" borderId="0" xfId="5" applyNumberFormat="1" applyFont="1" applyFill="1" applyBorder="1" applyAlignment="1" applyProtection="1"/>
    <xf numFmtId="0" fontId="0" fillId="0" borderId="0" xfId="0" applyBorder="1"/>
    <xf numFmtId="2" fontId="6" fillId="0" borderId="0" xfId="0" applyNumberFormat="1" applyFont="1" applyFill="1" applyBorder="1" applyAlignment="1" applyProtection="1">
      <alignment horizontal="centerContinuous"/>
    </xf>
    <xf numFmtId="43" fontId="6" fillId="0" borderId="0" xfId="0" applyNumberFormat="1" applyFont="1" applyFill="1" applyBorder="1" applyAlignment="1" applyProtection="1"/>
    <xf numFmtId="40" fontId="0" fillId="0" borderId="0" xfId="0" applyNumberFormat="1"/>
    <xf numFmtId="40" fontId="4" fillId="0" borderId="4" xfId="1" applyFont="1" applyFill="1" applyBorder="1" applyAlignment="1" applyProtection="1">
      <alignment horizontal="right"/>
    </xf>
    <xf numFmtId="40" fontId="9" fillId="0" borderId="0" xfId="1" applyFont="1" applyFill="1" applyBorder="1" applyAlignment="1" applyProtection="1">
      <alignment horizontal="center"/>
    </xf>
    <xf numFmtId="38" fontId="4" fillId="0" borderId="0" xfId="1" applyNumberFormat="1" applyFont="1" applyFill="1" applyBorder="1" applyAlignment="1" applyProtection="1">
      <alignment horizontal="right"/>
    </xf>
    <xf numFmtId="40" fontId="0" fillId="0" borderId="0" xfId="0" applyNumberFormat="1" applyBorder="1"/>
    <xf numFmtId="40" fontId="14" fillId="0" borderId="0" xfId="1" applyFont="1" applyFill="1" applyBorder="1" applyAlignment="1" applyProtection="1">
      <alignment horizontal="center"/>
    </xf>
    <xf numFmtId="4" fontId="6" fillId="0" borderId="0" xfId="0" applyNumberFormat="1" applyFont="1" applyFill="1" applyBorder="1" applyAlignment="1" applyProtection="1">
      <alignment horizontal="center"/>
    </xf>
    <xf numFmtId="4" fontId="7" fillId="0" borderId="0" xfId="0" applyNumberFormat="1" applyFont="1" applyFill="1" applyBorder="1" applyAlignment="1" applyProtection="1">
      <alignment horizontal="center"/>
    </xf>
    <xf numFmtId="40" fontId="7" fillId="0" borderId="0" xfId="1" applyFont="1" applyFill="1" applyBorder="1" applyAlignment="1" applyProtection="1">
      <alignment horizontal="center"/>
    </xf>
    <xf numFmtId="40" fontId="7" fillId="0" borderId="2" xfId="1" applyFont="1" applyFill="1" applyBorder="1" applyAlignment="1" applyProtection="1">
      <alignment horizontal="center"/>
    </xf>
    <xf numFmtId="0" fontId="9" fillId="0" borderId="0" xfId="1" applyNumberFormat="1" applyFont="1" applyFill="1" applyBorder="1" applyAlignment="1" applyProtection="1">
      <alignment horizontal="center"/>
    </xf>
    <xf numFmtId="9" fontId="4" fillId="0" borderId="0" xfId="5" applyFont="1" applyFill="1" applyBorder="1" applyAlignment="1" applyProtection="1">
      <alignment horizontal="right"/>
    </xf>
    <xf numFmtId="4" fontId="9" fillId="0" borderId="0" xfId="0" applyNumberFormat="1" applyFont="1" applyFill="1" applyBorder="1" applyAlignment="1" applyProtection="1">
      <alignment horizontal="center"/>
    </xf>
    <xf numFmtId="40" fontId="4" fillId="0" borderId="0" xfId="1" applyFont="1" applyFill="1" applyBorder="1" applyAlignment="1" applyProtection="1"/>
    <xf numFmtId="4" fontId="4" fillId="0" borderId="4" xfId="0" applyNumberFormat="1" applyFont="1" applyFill="1" applyBorder="1" applyAlignment="1" applyProtection="1">
      <alignment horizontal="right"/>
    </xf>
    <xf numFmtId="4" fontId="14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14" fillId="0" borderId="2" xfId="0" applyNumberFormat="1" applyFont="1" applyFill="1" applyBorder="1" applyAlignment="1" applyProtection="1">
      <alignment horizontal="center"/>
    </xf>
    <xf numFmtId="4" fontId="14" fillId="0" borderId="2" xfId="0" applyNumberFormat="1" applyFont="1" applyFill="1" applyBorder="1" applyAlignment="1" applyProtection="1">
      <alignment horizontal="center"/>
    </xf>
    <xf numFmtId="40" fontId="14" fillId="0" borderId="2" xfId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4" fontId="9" fillId="0" borderId="3" xfId="0" applyNumberFormat="1" applyFont="1" applyFill="1" applyBorder="1" applyAlignment="1" applyProtection="1">
      <alignment horizontal="center"/>
    </xf>
    <xf numFmtId="40" fontId="9" fillId="0" borderId="3" xfId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Border="1" applyAlignment="1">
      <alignment horizontal="right"/>
    </xf>
    <xf numFmtId="40" fontId="8" fillId="0" borderId="4" xfId="1" applyFont="1" applyFill="1" applyBorder="1" applyAlignment="1" applyProtection="1">
      <alignment horizontal="right"/>
    </xf>
    <xf numFmtId="8" fontId="4" fillId="0" borderId="5" xfId="0" applyNumberFormat="1" applyFont="1" applyFill="1" applyBorder="1" applyAlignment="1" applyProtection="1">
      <alignment horizontal="right"/>
    </xf>
    <xf numFmtId="38" fontId="8" fillId="0" borderId="2" xfId="1" applyNumberFormat="1" applyFont="1" applyFill="1" applyBorder="1" applyAlignment="1" applyProtection="1">
      <alignment horizontal="right"/>
    </xf>
    <xf numFmtId="38" fontId="8" fillId="0" borderId="0" xfId="1" applyNumberFormat="1" applyFont="1" applyFill="1" applyBorder="1" applyAlignment="1" applyProtection="1">
      <alignment horizontal="right"/>
    </xf>
    <xf numFmtId="38" fontId="8" fillId="0" borderId="0" xfId="1" applyNumberFormat="1" applyFont="1" applyBorder="1" applyAlignment="1">
      <alignment horizontal="right"/>
    </xf>
    <xf numFmtId="38" fontId="8" fillId="0" borderId="4" xfId="1" applyNumberFormat="1" applyFont="1" applyFill="1" applyBorder="1" applyAlignment="1" applyProtection="1">
      <alignment horizontal="right"/>
    </xf>
    <xf numFmtId="38" fontId="8" fillId="0" borderId="0" xfId="1" applyNumberFormat="1" applyFont="1" applyFill="1" applyBorder="1" applyAlignment="1">
      <alignment horizontal="right"/>
    </xf>
    <xf numFmtId="38" fontId="0" fillId="0" borderId="0" xfId="1" applyNumberFormat="1" applyFont="1" applyBorder="1"/>
    <xf numFmtId="38" fontId="10" fillId="0" borderId="0" xfId="1" applyNumberFormat="1" applyFont="1" applyFill="1" applyBorder="1" applyAlignment="1" applyProtection="1">
      <alignment horizontal="right"/>
    </xf>
    <xf numFmtId="38" fontId="4" fillId="0" borderId="4" xfId="1" applyNumberFormat="1" applyFont="1" applyFill="1" applyBorder="1" applyAlignment="1" applyProtection="1">
      <alignment horizontal="right"/>
    </xf>
    <xf numFmtId="38" fontId="4" fillId="0" borderId="2" xfId="1" applyNumberFormat="1" applyFont="1" applyFill="1" applyBorder="1" applyAlignment="1" applyProtection="1">
      <alignment horizontal="right"/>
    </xf>
    <xf numFmtId="38" fontId="4" fillId="0" borderId="5" xfId="1" applyNumberFormat="1" applyFont="1" applyFill="1" applyBorder="1" applyAlignment="1" applyProtection="1">
      <alignment horizontal="right"/>
    </xf>
    <xf numFmtId="38" fontId="0" fillId="0" borderId="0" xfId="1" applyNumberFormat="1" applyFont="1" applyBorder="1" applyAlignment="1">
      <alignment horizontal="right"/>
    </xf>
    <xf numFmtId="38" fontId="0" fillId="0" borderId="0" xfId="1" applyNumberFormat="1" applyFont="1" applyAlignment="1">
      <alignment horizontal="right"/>
    </xf>
    <xf numFmtId="38" fontId="0" fillId="0" borderId="0" xfId="1" applyNumberFormat="1" applyFont="1"/>
    <xf numFmtId="38" fontId="8" fillId="0" borderId="2" xfId="1" applyNumberFormat="1" applyFont="1" applyFill="1" applyBorder="1" applyAlignment="1">
      <alignment horizontal="right"/>
    </xf>
    <xf numFmtId="40" fontId="8" fillId="0" borderId="2" xfId="1" applyNumberFormat="1" applyFont="1" applyFill="1" applyBorder="1" applyAlignment="1" applyProtection="1">
      <alignment horizontal="right"/>
    </xf>
    <xf numFmtId="40" fontId="8" fillId="0" borderId="0" xfId="1" applyNumberFormat="1" applyFont="1" applyFill="1" applyBorder="1" applyAlignment="1" applyProtection="1">
      <alignment horizontal="right"/>
    </xf>
    <xf numFmtId="40" fontId="8" fillId="0" borderId="4" xfId="1" applyNumberFormat="1" applyFont="1" applyFill="1" applyBorder="1" applyAlignment="1" applyProtection="1">
      <alignment horizontal="right"/>
    </xf>
    <xf numFmtId="40" fontId="8" fillId="0" borderId="0" xfId="1" applyNumberFormat="1" applyFont="1" applyBorder="1" applyAlignment="1">
      <alignment horizontal="right"/>
    </xf>
    <xf numFmtId="40" fontId="4" fillId="0" borderId="0" xfId="1" applyNumberFormat="1" applyFont="1" applyFill="1" applyBorder="1" applyAlignment="1" applyProtection="1">
      <alignment horizontal="right"/>
    </xf>
    <xf numFmtId="38" fontId="11" fillId="0" borderId="0" xfId="1" applyNumberFormat="1" applyFont="1" applyFill="1" applyBorder="1" applyAlignment="1" applyProtection="1">
      <alignment horizontal="right"/>
    </xf>
    <xf numFmtId="38" fontId="4" fillId="0" borderId="0" xfId="1" applyNumberFormat="1" applyFont="1" applyFill="1" applyBorder="1" applyAlignment="1" applyProtection="1"/>
    <xf numFmtId="38" fontId="4" fillId="0" borderId="0" xfId="1" applyNumberFormat="1" applyFont="1" applyFill="1" applyBorder="1" applyAlignment="1" applyProtection="1">
      <alignment horizontal="center"/>
    </xf>
    <xf numFmtId="38" fontId="4" fillId="0" borderId="4" xfId="1" applyNumberFormat="1" applyFont="1" applyFill="1" applyBorder="1" applyAlignment="1" applyProtection="1"/>
    <xf numFmtId="38" fontId="3" fillId="0" borderId="0" xfId="1" applyNumberFormat="1"/>
    <xf numFmtId="0" fontId="10" fillId="0" borderId="0" xfId="0" applyNumberFormat="1" applyFont="1" applyFill="1" applyBorder="1" applyAlignment="1" applyProtection="1">
      <alignment horizontal="right"/>
    </xf>
    <xf numFmtId="38" fontId="3" fillId="0" borderId="0" xfId="1" applyNumberFormat="1" applyBorder="1" applyAlignment="1">
      <alignment horizontal="right"/>
    </xf>
    <xf numFmtId="38" fontId="3" fillId="0" borderId="0" xfId="1" applyNumberFormat="1" applyBorder="1"/>
    <xf numFmtId="8" fontId="6" fillId="0" borderId="1" xfId="2" applyFont="1" applyFill="1" applyBorder="1" applyAlignment="1" applyProtection="1"/>
    <xf numFmtId="38" fontId="0" fillId="0" borderId="0" xfId="0" applyNumberFormat="1"/>
    <xf numFmtId="2" fontId="6" fillId="0" borderId="0" xfId="0" applyNumberFormat="1" applyFont="1" applyFill="1" applyBorder="1" applyAlignment="1" applyProtection="1"/>
    <xf numFmtId="40" fontId="6" fillId="0" borderId="0" xfId="1" applyFont="1" applyFill="1" applyBorder="1" applyAlignment="1" applyProtection="1"/>
    <xf numFmtId="38" fontId="6" fillId="0" borderId="0" xfId="0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>
      <alignment horizontal="center"/>
    </xf>
    <xf numFmtId="0" fontId="0" fillId="0" borderId="0" xfId="0" applyFill="1"/>
    <xf numFmtId="9" fontId="6" fillId="0" borderId="0" xfId="5" applyFont="1" applyFill="1" applyBorder="1" applyAlignment="1" applyProtection="1"/>
    <xf numFmtId="4" fontId="6" fillId="0" borderId="2" xfId="0" applyNumberFormat="1" applyFont="1" applyFill="1" applyBorder="1" applyAlignment="1" applyProtection="1">
      <alignment horizontal="right"/>
    </xf>
    <xf numFmtId="40" fontId="6" fillId="0" borderId="0" xfId="1" applyFont="1" applyFill="1" applyBorder="1" applyAlignment="1" applyProtection="1">
      <alignment horizontal="left"/>
    </xf>
    <xf numFmtId="0" fontId="18" fillId="0" borderId="0" xfId="0" applyFont="1"/>
    <xf numFmtId="0" fontId="19" fillId="0" borderId="0" xfId="0" applyNumberFormat="1" applyFont="1" applyFill="1" applyBorder="1" applyAlignment="1" applyProtection="1"/>
    <xf numFmtId="9" fontId="6" fillId="0" borderId="0" xfId="5" applyFont="1" applyFill="1" applyBorder="1" applyAlignment="1" applyProtection="1">
      <alignment horizontal="right"/>
    </xf>
    <xf numFmtId="10" fontId="6" fillId="0" borderId="0" xfId="5" applyNumberFormat="1" applyFont="1" applyFill="1" applyBorder="1" applyAlignment="1" applyProtection="1"/>
    <xf numFmtId="9" fontId="6" fillId="0" borderId="0" xfId="5" applyNumberFormat="1" applyFont="1" applyFill="1" applyBorder="1" applyAlignment="1" applyProtection="1">
      <alignment horizontal="right"/>
    </xf>
    <xf numFmtId="0" fontId="6" fillId="0" borderId="0" xfId="0" quotePrefix="1" applyNumberFormat="1" applyFont="1" applyFill="1" applyBorder="1" applyAlignment="1" applyProtection="1"/>
    <xf numFmtId="2" fontId="6" fillId="0" borderId="0" xfId="0" applyNumberFormat="1" applyFont="1" applyFill="1" applyBorder="1" applyAlignment="1" applyProtection="1">
      <alignment horizontal="right"/>
    </xf>
    <xf numFmtId="38" fontId="6" fillId="0" borderId="0" xfId="1" applyNumberFormat="1" applyFont="1" applyFill="1" applyBorder="1" applyAlignment="1" applyProtection="1"/>
    <xf numFmtId="40" fontId="6" fillId="0" borderId="0" xfId="1" quotePrefix="1" applyFont="1" applyFill="1" applyBorder="1" applyAlignment="1" applyProtection="1">
      <alignment horizontal="right"/>
    </xf>
    <xf numFmtId="10" fontId="4" fillId="0" borderId="0" xfId="5" applyNumberFormat="1" applyFont="1" applyFill="1" applyBorder="1" applyAlignment="1" applyProtection="1">
      <alignment horizontal="right"/>
    </xf>
    <xf numFmtId="165" fontId="14" fillId="0" borderId="0" xfId="1" applyNumberFormat="1" applyFont="1" applyFill="1" applyBorder="1" applyAlignment="1" applyProtection="1">
      <alignment horizontal="center"/>
    </xf>
    <xf numFmtId="40" fontId="8" fillId="0" borderId="0" xfId="1" applyFont="1" applyFill="1" applyBorder="1" applyAlignment="1">
      <alignment horizontal="right"/>
    </xf>
    <xf numFmtId="40" fontId="8" fillId="0" borderId="2" xfId="1" applyFont="1" applyFill="1" applyBorder="1" applyAlignment="1">
      <alignment horizontal="right"/>
    </xf>
    <xf numFmtId="0" fontId="0" fillId="0" borderId="0" xfId="3" applyFont="1" applyFill="1" applyBorder="1" applyAlignment="1" applyProtection="1"/>
    <xf numFmtId="4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right"/>
    </xf>
    <xf numFmtId="40" fontId="8" fillId="0" borderId="0" xfId="1" applyNumberFormat="1" applyFont="1" applyFill="1" applyBorder="1" applyAlignment="1">
      <alignment horizontal="right"/>
    </xf>
    <xf numFmtId="40" fontId="6" fillId="0" borderId="0" xfId="1" applyNumberFormat="1" applyFont="1" applyFill="1" applyBorder="1" applyAlignment="1" applyProtection="1">
      <alignment horizontal="right"/>
    </xf>
    <xf numFmtId="38" fontId="4" fillId="0" borderId="0" xfId="1" applyNumberFormat="1" applyFont="1" applyFill="1" applyBorder="1" applyAlignment="1">
      <alignment horizontal="right"/>
    </xf>
    <xf numFmtId="14" fontId="20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1" fillId="0" borderId="0" xfId="0" applyFont="1" applyBorder="1"/>
    <xf numFmtId="40" fontId="5" fillId="0" borderId="0" xfId="1" applyFont="1" applyFill="1" applyBorder="1" applyAlignment="1" applyProtection="1">
      <alignment horizontal="center"/>
    </xf>
    <xf numFmtId="38" fontId="12" fillId="0" borderId="0" xfId="1" applyNumberFormat="1" applyFont="1" applyFill="1"/>
    <xf numFmtId="40" fontId="12" fillId="0" borderId="0" xfId="1" applyFont="1" applyFill="1" applyBorder="1" applyAlignment="1" applyProtection="1">
      <alignment horizontal="right"/>
    </xf>
    <xf numFmtId="2" fontId="12" fillId="0" borderId="0" xfId="0" applyNumberFormat="1" applyFont="1" applyFill="1"/>
    <xf numFmtId="38" fontId="6" fillId="0" borderId="0" xfId="0" applyNumberFormat="1" applyFont="1" applyFill="1" applyBorder="1" applyAlignment="1" applyProtection="1"/>
    <xf numFmtId="7" fontId="6" fillId="0" borderId="0" xfId="0" applyNumberFormat="1" applyFont="1" applyFill="1" applyBorder="1" applyAlignment="1" applyProtection="1"/>
    <xf numFmtId="3" fontId="12" fillId="0" borderId="0" xfId="1" applyNumberFormat="1" applyFont="1" applyFill="1"/>
    <xf numFmtId="0" fontId="12" fillId="0" borderId="0" xfId="0" applyFont="1" applyFill="1"/>
    <xf numFmtId="40" fontId="6" fillId="0" borderId="7" xfId="1" applyFont="1" applyFill="1" applyBorder="1" applyAlignment="1" applyProtection="1">
      <alignment horizontal="right"/>
    </xf>
    <xf numFmtId="38" fontId="4" fillId="0" borderId="0" xfId="1" applyNumberFormat="1" applyFont="1" applyFill="1"/>
    <xf numFmtId="4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4" fontId="5" fillId="0" borderId="3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/>
    <xf numFmtId="3" fontId="4" fillId="0" borderId="0" xfId="1" applyNumberFormat="1" applyFont="1" applyFill="1" applyBorder="1" applyAlignment="1" applyProtection="1"/>
    <xf numFmtId="38" fontId="4" fillId="0" borderId="6" xfId="1" applyNumberFormat="1" applyFont="1" applyFill="1" applyBorder="1" applyAlignment="1" applyProtection="1">
      <alignment horizontal="right"/>
    </xf>
    <xf numFmtId="38" fontId="4" fillId="0" borderId="2" xfId="1" applyNumberFormat="1" applyFont="1" applyFill="1" applyBorder="1" applyAlignment="1" applyProtection="1"/>
    <xf numFmtId="38" fontId="4" fillId="0" borderId="8" xfId="1" applyNumberFormat="1" applyFont="1" applyFill="1" applyBorder="1" applyAlignment="1" applyProtection="1"/>
    <xf numFmtId="38" fontId="4" fillId="0" borderId="8" xfId="1" applyNumberFormat="1" applyFont="1" applyFill="1" applyBorder="1" applyAlignment="1" applyProtection="1">
      <alignment horizontal="right"/>
    </xf>
    <xf numFmtId="38" fontId="0" fillId="0" borderId="0" xfId="0" applyNumberFormat="1" applyBorder="1"/>
    <xf numFmtId="0" fontId="0" fillId="0" borderId="0" xfId="0" applyFill="1" applyBorder="1"/>
    <xf numFmtId="0" fontId="12" fillId="0" borderId="0" xfId="0" applyFont="1" applyFill="1" applyAlignment="1"/>
    <xf numFmtId="40" fontId="4" fillId="0" borderId="4" xfId="1" applyFont="1" applyFill="1" applyBorder="1" applyAlignment="1" applyProtection="1"/>
    <xf numFmtId="38" fontId="10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38" fontId="6" fillId="0" borderId="0" xfId="1" applyNumberFormat="1" applyFont="1" applyFill="1" applyBorder="1" applyAlignment="1" applyProtection="1">
      <alignment horizontal="left" indent="2"/>
    </xf>
    <xf numFmtId="38" fontId="12" fillId="0" borderId="0" xfId="1" applyNumberFormat="1" applyFont="1" applyFill="1" applyBorder="1"/>
    <xf numFmtId="2" fontId="12" fillId="0" borderId="0" xfId="0" applyNumberFormat="1" applyFont="1" applyFill="1" applyBorder="1"/>
    <xf numFmtId="1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/>
    <xf numFmtId="40" fontId="12" fillId="0" borderId="2" xfId="1" applyFont="1" applyFill="1" applyBorder="1" applyAlignment="1" applyProtection="1">
      <alignment horizontal="right"/>
    </xf>
    <xf numFmtId="40" fontId="6" fillId="0" borderId="2" xfId="1" applyFont="1" applyFill="1" applyBorder="1" applyAlignment="1" applyProtection="1"/>
    <xf numFmtId="40" fontId="4" fillId="0" borderId="4" xfId="1" applyNumberFormat="1" applyFont="1" applyFill="1" applyBorder="1" applyAlignment="1" applyProtection="1">
      <alignment horizontal="right"/>
    </xf>
    <xf numFmtId="40" fontId="4" fillId="0" borderId="2" xfId="1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40" fontId="6" fillId="0" borderId="0" xfId="1" applyNumberFormat="1" applyFont="1" applyFill="1" applyBorder="1" applyAlignment="1" applyProtection="1"/>
    <xf numFmtId="38" fontId="8" fillId="0" borderId="4" xfId="1" applyNumberFormat="1" applyFont="1" applyFill="1" applyBorder="1" applyAlignment="1">
      <alignment horizontal="right"/>
    </xf>
    <xf numFmtId="40" fontId="8" fillId="0" borderId="4" xfId="1" applyFont="1" applyFill="1" applyBorder="1" applyAlignment="1">
      <alignment horizontal="right"/>
    </xf>
    <xf numFmtId="3" fontId="4" fillId="0" borderId="4" xfId="0" applyNumberFormat="1" applyFont="1" applyFill="1" applyBorder="1" applyAlignment="1" applyProtection="1">
      <alignment horizontal="right"/>
    </xf>
    <xf numFmtId="3" fontId="4" fillId="0" borderId="2" xfId="0" applyNumberFormat="1" applyFont="1" applyFill="1" applyBorder="1" applyAlignment="1" applyProtection="1">
      <alignment horizontal="right"/>
    </xf>
    <xf numFmtId="40" fontId="12" fillId="0" borderId="0" xfId="1" applyNumberFormat="1" applyFont="1" applyFill="1" applyBorder="1"/>
    <xf numFmtId="40" fontId="12" fillId="0" borderId="0" xfId="1" applyNumberFormat="1" applyFont="1" applyFill="1" applyBorder="1" applyAlignment="1" applyProtection="1">
      <alignment horizontal="right"/>
    </xf>
    <xf numFmtId="0" fontId="22" fillId="0" borderId="0" xfId="0" applyFont="1"/>
    <xf numFmtId="38" fontId="6" fillId="0" borderId="0" xfId="1" applyNumberFormat="1" applyFont="1" applyFill="1" applyBorder="1" applyAlignment="1" applyProtection="1">
      <alignment horizontal="right"/>
    </xf>
    <xf numFmtId="38" fontId="6" fillId="0" borderId="2" xfId="1" applyNumberFormat="1" applyFont="1" applyFill="1" applyBorder="1" applyAlignment="1" applyProtection="1">
      <alignment horizontal="right"/>
    </xf>
    <xf numFmtId="40" fontId="6" fillId="0" borderId="2" xfId="1" applyFont="1" applyFill="1" applyBorder="1" applyAlignment="1" applyProtection="1">
      <alignment horizontal="right"/>
    </xf>
    <xf numFmtId="38" fontId="6" fillId="0" borderId="4" xfId="1" applyNumberFormat="1" applyFont="1" applyFill="1" applyBorder="1" applyAlignment="1" applyProtection="1">
      <alignment horizontal="right"/>
    </xf>
    <xf numFmtId="40" fontId="6" fillId="0" borderId="4" xfId="1" applyFont="1" applyFill="1" applyBorder="1" applyAlignment="1" applyProtection="1">
      <alignment horizontal="right"/>
    </xf>
    <xf numFmtId="0" fontId="22" fillId="0" borderId="0" xfId="0" applyFont="1" applyFill="1"/>
    <xf numFmtId="0" fontId="6" fillId="0" borderId="0" xfId="0" applyNumberFormat="1" applyFont="1" applyFill="1" applyBorder="1" applyAlignment="1" applyProtection="1">
      <alignment horizontal="left"/>
    </xf>
    <xf numFmtId="8" fontId="6" fillId="0" borderId="5" xfId="0" applyNumberFormat="1" applyFont="1" applyFill="1" applyBorder="1" applyAlignment="1" applyProtection="1">
      <alignment horizontal="right"/>
    </xf>
    <xf numFmtId="38" fontId="22" fillId="0" borderId="0" xfId="1" applyNumberFormat="1" applyFont="1" applyBorder="1" applyAlignment="1">
      <alignment horizontal="right"/>
    </xf>
    <xf numFmtId="0" fontId="6" fillId="2" borderId="0" xfId="0" applyNumberFormat="1" applyFont="1" applyFill="1" applyBorder="1" applyAlignment="1" applyProtection="1"/>
    <xf numFmtId="40" fontId="7" fillId="2" borderId="0" xfId="1" applyFont="1" applyFill="1" applyBorder="1" applyAlignment="1" applyProtection="1">
      <alignment horizontal="center"/>
    </xf>
    <xf numFmtId="0" fontId="22" fillId="2" borderId="0" xfId="0" applyFont="1" applyFill="1"/>
    <xf numFmtId="40" fontId="6" fillId="2" borderId="0" xfId="1" applyFont="1" applyFill="1" applyBorder="1" applyAlignment="1" applyProtection="1">
      <alignment horizontal="right"/>
    </xf>
    <xf numFmtId="38" fontId="6" fillId="2" borderId="2" xfId="1" applyNumberFormat="1" applyFont="1" applyFill="1" applyBorder="1" applyAlignment="1" applyProtection="1">
      <alignment horizontal="right"/>
    </xf>
    <xf numFmtId="38" fontId="6" fillId="2" borderId="0" xfId="1" applyNumberFormat="1" applyFont="1" applyFill="1" applyBorder="1" applyAlignment="1" applyProtection="1">
      <alignment horizontal="right"/>
    </xf>
    <xf numFmtId="0" fontId="6" fillId="2" borderId="0" xfId="0" applyNumberFormat="1" applyFont="1" applyFill="1" applyBorder="1" applyAlignment="1" applyProtection="1">
      <alignment horizontal="right"/>
    </xf>
    <xf numFmtId="38" fontId="6" fillId="2" borderId="4" xfId="1" applyNumberFormat="1" applyFont="1" applyFill="1" applyBorder="1" applyAlignment="1" applyProtection="1">
      <alignment horizontal="right"/>
    </xf>
    <xf numFmtId="0" fontId="6" fillId="2" borderId="0" xfId="0" applyNumberFormat="1" applyFont="1" applyFill="1" applyBorder="1" applyAlignment="1" applyProtection="1">
      <alignment horizontal="left"/>
    </xf>
    <xf numFmtId="38" fontId="6" fillId="2" borderId="5" xfId="1" applyNumberFormat="1" applyFont="1" applyFill="1" applyBorder="1" applyAlignment="1" applyProtection="1">
      <alignment horizontal="right"/>
    </xf>
    <xf numFmtId="0" fontId="23" fillId="0" borderId="0" xfId="0" applyFont="1" applyFill="1"/>
    <xf numFmtId="40" fontId="6" fillId="0" borderId="2" xfId="1" applyNumberFormat="1" applyFont="1" applyFill="1" applyBorder="1" applyAlignment="1" applyProtection="1">
      <alignment horizontal="right"/>
    </xf>
    <xf numFmtId="38" fontId="6" fillId="0" borderId="1" xfId="1" applyNumberFormat="1" applyFont="1" applyFill="1" applyBorder="1" applyAlignment="1" applyProtection="1">
      <alignment horizontal="right"/>
    </xf>
    <xf numFmtId="40" fontId="6" fillId="0" borderId="1" xfId="1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/>
    <xf numFmtId="40" fontId="6" fillId="0" borderId="1" xfId="1" applyFont="1" applyFill="1" applyBorder="1" applyAlignment="1" applyProtection="1">
      <alignment horizontal="right"/>
    </xf>
    <xf numFmtId="40" fontId="6" fillId="0" borderId="4" xfId="1" applyNumberFormat="1" applyFont="1" applyFill="1" applyBorder="1" applyAlignment="1" applyProtection="1">
      <alignment horizontal="right"/>
    </xf>
    <xf numFmtId="0" fontId="6" fillId="3" borderId="0" xfId="0" applyNumberFormat="1" applyFont="1" applyFill="1" applyBorder="1" applyAlignment="1" applyProtection="1"/>
    <xf numFmtId="38" fontId="6" fillId="3" borderId="2" xfId="1" applyNumberFormat="1" applyFont="1" applyFill="1" applyBorder="1" applyAlignment="1" applyProtection="1">
      <alignment horizontal="right"/>
    </xf>
    <xf numFmtId="40" fontId="6" fillId="3" borderId="0" xfId="1" applyFont="1" applyFill="1" applyBorder="1" applyAlignment="1" applyProtection="1">
      <alignment horizontal="right"/>
    </xf>
    <xf numFmtId="40" fontId="6" fillId="3" borderId="2" xfId="1" applyFont="1" applyFill="1" applyBorder="1" applyAlignment="1" applyProtection="1">
      <alignment horizontal="right"/>
    </xf>
    <xf numFmtId="38" fontId="6" fillId="3" borderId="0" xfId="1" applyNumberFormat="1" applyFont="1" applyFill="1" applyBorder="1" applyAlignment="1" applyProtection="1">
      <alignment horizontal="right"/>
    </xf>
    <xf numFmtId="167" fontId="6" fillId="0" borderId="1" xfId="1" applyNumberFormat="1" applyFont="1" applyFill="1" applyBorder="1" applyAlignment="1" applyProtection="1">
      <alignment horizontal="right"/>
    </xf>
    <xf numFmtId="38" fontId="7" fillId="0" borderId="0" xfId="1" applyNumberFormat="1" applyFont="1" applyFill="1" applyBorder="1" applyAlignment="1" applyProtection="1">
      <alignment horizontal="center"/>
    </xf>
    <xf numFmtId="38" fontId="6" fillId="0" borderId="2" xfId="1" applyNumberFormat="1" applyFont="1" applyBorder="1" applyAlignment="1">
      <alignment horizontal="right"/>
    </xf>
    <xf numFmtId="38" fontId="6" fillId="0" borderId="2" xfId="1" applyNumberFormat="1" applyFont="1" applyFill="1" applyBorder="1" applyAlignment="1">
      <alignment horizontal="right"/>
    </xf>
    <xf numFmtId="38" fontId="6" fillId="0" borderId="0" xfId="1" applyNumberFormat="1" applyFont="1" applyBorder="1" applyAlignment="1">
      <alignment horizontal="right"/>
    </xf>
    <xf numFmtId="40" fontId="6" fillId="0" borderId="0" xfId="1" applyNumberFormat="1" applyFont="1" applyFill="1" applyBorder="1" applyAlignment="1">
      <alignment horizontal="right"/>
    </xf>
    <xf numFmtId="40" fontId="6" fillId="0" borderId="2" xfId="1" applyNumberFormat="1" applyFont="1" applyFill="1" applyBorder="1" applyAlignment="1">
      <alignment horizontal="right"/>
    </xf>
    <xf numFmtId="38" fontId="6" fillId="0" borderId="4" xfId="1" applyNumberFormat="1" applyFont="1" applyFill="1" applyBorder="1" applyAlignment="1">
      <alignment horizontal="right"/>
    </xf>
    <xf numFmtId="40" fontId="6" fillId="0" borderId="4" xfId="1" applyNumberFormat="1" applyFont="1" applyFill="1" applyBorder="1" applyAlignment="1">
      <alignment horizontal="right"/>
    </xf>
    <xf numFmtId="38" fontId="6" fillId="0" borderId="0" xfId="1" applyNumberFormat="1" applyFont="1" applyFill="1" applyBorder="1" applyAlignment="1">
      <alignment horizontal="right"/>
    </xf>
    <xf numFmtId="0" fontId="22" fillId="0" borderId="0" xfId="0" applyFont="1" applyBorder="1"/>
    <xf numFmtId="38" fontId="22" fillId="0" borderId="0" xfId="1" applyNumberFormat="1" applyFont="1" applyBorder="1"/>
    <xf numFmtId="166" fontId="22" fillId="0" borderId="0" xfId="1" applyNumberFormat="1" applyFont="1" applyBorder="1"/>
    <xf numFmtId="0" fontId="7" fillId="0" borderId="0" xfId="4" applyFont="1" applyAlignment="1">
      <alignment horizontal="centerContinuous"/>
    </xf>
    <xf numFmtId="0" fontId="6" fillId="0" borderId="0" xfId="4" applyFont="1"/>
    <xf numFmtId="38" fontId="6" fillId="0" borderId="0" xfId="1" applyNumberFormat="1" applyFont="1"/>
    <xf numFmtId="38" fontId="6" fillId="0" borderId="0" xfId="1" applyNumberFormat="1" applyFont="1" applyFill="1"/>
    <xf numFmtId="0" fontId="6" fillId="0" borderId="0" xfId="4" applyFont="1" applyAlignment="1">
      <alignment horizontal="right"/>
    </xf>
    <xf numFmtId="40" fontId="6" fillId="0" borderId="5" xfId="1" applyFont="1" applyFill="1" applyBorder="1" applyAlignment="1" applyProtection="1">
      <alignment horizontal="right"/>
    </xf>
    <xf numFmtId="40" fontId="4" fillId="0" borderId="1" xfId="1" applyFont="1" applyFill="1" applyBorder="1" applyAlignment="1" applyProtection="1">
      <alignment horizontal="right"/>
    </xf>
    <xf numFmtId="38" fontId="4" fillId="0" borderId="1" xfId="1" applyNumberFormat="1" applyFont="1" applyFill="1" applyBorder="1" applyAlignment="1" applyProtection="1">
      <alignment horizontal="right"/>
    </xf>
    <xf numFmtId="40" fontId="4" fillId="0" borderId="1" xfId="1" applyNumberFormat="1" applyFont="1" applyFill="1" applyBorder="1" applyAlignment="1" applyProtection="1">
      <alignment horizontal="right"/>
    </xf>
    <xf numFmtId="38" fontId="8" fillId="0" borderId="1" xfId="1" applyNumberFormat="1" applyFont="1" applyFill="1" applyBorder="1" applyAlignment="1" applyProtection="1">
      <alignment horizontal="right"/>
    </xf>
    <xf numFmtId="40" fontId="8" fillId="0" borderId="1" xfId="1" applyNumberFormat="1" applyFont="1" applyFill="1" applyBorder="1" applyAlignment="1" applyProtection="1">
      <alignment horizontal="right"/>
    </xf>
    <xf numFmtId="40" fontId="8" fillId="0" borderId="1" xfId="1" applyFont="1" applyFill="1" applyBorder="1" applyAlignment="1" applyProtection="1">
      <alignment horizontal="right"/>
    </xf>
    <xf numFmtId="40" fontId="4" fillId="0" borderId="0" xfId="1" applyNumberFormat="1" applyFont="1" applyFill="1" applyBorder="1" applyAlignment="1" applyProtection="1"/>
    <xf numFmtId="40" fontId="4" fillId="0" borderId="4" xfId="1" applyNumberFormat="1" applyFont="1" applyFill="1" applyBorder="1" applyAlignment="1" applyProtection="1"/>
    <xf numFmtId="40" fontId="12" fillId="0" borderId="0" xfId="0" applyNumberFormat="1" applyFont="1" applyFill="1" applyBorder="1" applyAlignment="1" applyProtection="1">
      <alignment horizontal="right"/>
    </xf>
    <xf numFmtId="10" fontId="10" fillId="0" borderId="0" xfId="0" applyNumberFormat="1" applyFont="1" applyFill="1" applyBorder="1" applyAlignment="1" applyProtection="1"/>
    <xf numFmtId="0" fontId="4" fillId="0" borderId="0" xfId="0" applyFont="1"/>
    <xf numFmtId="10" fontId="4" fillId="0" borderId="0" xfId="0" applyNumberFormat="1" applyFont="1" applyFill="1" applyBorder="1" applyAlignment="1" applyProtection="1"/>
    <xf numFmtId="10" fontId="4" fillId="0" borderId="4" xfId="0" applyNumberFormat="1" applyFont="1" applyFill="1" applyBorder="1" applyAlignment="1" applyProtection="1"/>
    <xf numFmtId="10" fontId="8" fillId="0" borderId="0" xfId="0" applyNumberFormat="1" applyFont="1" applyFill="1" applyBorder="1" applyAlignment="1" applyProtection="1"/>
    <xf numFmtId="10" fontId="8" fillId="0" borderId="4" xfId="0" applyNumberFormat="1" applyFont="1" applyFill="1" applyBorder="1" applyAlignment="1" applyProtection="1"/>
    <xf numFmtId="10" fontId="8" fillId="0" borderId="2" xfId="0" applyNumberFormat="1" applyFont="1" applyFill="1" applyBorder="1" applyAlignment="1" applyProtection="1"/>
    <xf numFmtId="9" fontId="4" fillId="0" borderId="0" xfId="0" applyNumberFormat="1" applyFont="1" applyAlignment="1">
      <alignment horizontal="left"/>
    </xf>
    <xf numFmtId="38" fontId="5" fillId="0" borderId="0" xfId="1" applyNumberFormat="1" applyFont="1" applyFill="1" applyBorder="1" applyAlignment="1" applyProtection="1">
      <alignment horizontal="center"/>
    </xf>
    <xf numFmtId="10" fontId="4" fillId="0" borderId="2" xfId="0" applyNumberFormat="1" applyFont="1" applyFill="1" applyBorder="1" applyAlignment="1" applyProtection="1"/>
    <xf numFmtId="10" fontId="4" fillId="0" borderId="1" xfId="0" applyNumberFormat="1" applyFont="1" applyFill="1" applyBorder="1" applyAlignment="1" applyProtection="1"/>
    <xf numFmtId="10" fontId="4" fillId="0" borderId="0" xfId="1" applyNumberFormat="1" applyFont="1" applyFill="1" applyBorder="1" applyAlignment="1" applyProtection="1">
      <alignment horizontal="right"/>
    </xf>
    <xf numFmtId="10" fontId="4" fillId="0" borderId="4" xfId="1" applyNumberFormat="1" applyFont="1" applyFill="1" applyBorder="1" applyAlignment="1" applyProtection="1">
      <alignment horizontal="right"/>
    </xf>
    <xf numFmtId="10" fontId="4" fillId="0" borderId="2" xfId="1" applyNumberFormat="1" applyFont="1" applyFill="1" applyBorder="1" applyAlignment="1" applyProtection="1">
      <alignment horizontal="right"/>
    </xf>
    <xf numFmtId="10" fontId="4" fillId="0" borderId="1" xfId="1" applyNumberFormat="1" applyFont="1" applyFill="1" applyBorder="1" applyAlignment="1" applyProtection="1">
      <alignment horizontal="right"/>
    </xf>
    <xf numFmtId="10" fontId="6" fillId="0" borderId="4" xfId="0" applyNumberFormat="1" applyFont="1" applyFill="1" applyBorder="1" applyAlignment="1" applyProtection="1"/>
    <xf numFmtId="10" fontId="6" fillId="0" borderId="2" xfId="0" applyNumberFormat="1" applyFont="1" applyFill="1" applyBorder="1" applyAlignment="1" applyProtection="1"/>
    <xf numFmtId="10" fontId="6" fillId="0" borderId="1" xfId="0" applyNumberFormat="1" applyFont="1" applyFill="1" applyBorder="1" applyAlignment="1" applyProtection="1"/>
    <xf numFmtId="40" fontId="6" fillId="0" borderId="4" xfId="0" applyNumberFormat="1" applyFont="1" applyFill="1" applyBorder="1" applyAlignment="1" applyProtection="1">
      <alignment horizontal="right"/>
    </xf>
    <xf numFmtId="164" fontId="6" fillId="0" borderId="0" xfId="5" applyNumberFormat="1" applyFont="1" applyFill="1" applyBorder="1" applyAlignment="1" applyProtection="1"/>
    <xf numFmtId="164" fontId="6" fillId="0" borderId="0" xfId="0" applyNumberFormat="1" applyFont="1" applyFill="1" applyBorder="1" applyAlignment="1" applyProtection="1"/>
    <xf numFmtId="0" fontId="4" fillId="0" borderId="0" xfId="0" applyFont="1" applyFill="1"/>
    <xf numFmtId="0" fontId="5" fillId="0" borderId="0" xfId="0" applyNumberFormat="1" applyFont="1" applyFill="1" applyBorder="1" applyAlignment="1" applyProtection="1">
      <alignment horizontal="center"/>
    </xf>
    <xf numFmtId="41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4" fillId="4" borderId="0" xfId="0" applyNumberFormat="1" applyFont="1" applyFill="1" applyBorder="1" applyAlignment="1" applyProtection="1"/>
    <xf numFmtId="38" fontId="8" fillId="4" borderId="0" xfId="1" applyNumberFormat="1" applyFont="1" applyFill="1" applyBorder="1" applyAlignment="1">
      <alignment horizontal="right"/>
    </xf>
    <xf numFmtId="0" fontId="0" fillId="4" borderId="0" xfId="0" applyFill="1"/>
    <xf numFmtId="10" fontId="4" fillId="4" borderId="0" xfId="0" applyNumberFormat="1" applyFont="1" applyFill="1"/>
    <xf numFmtId="38" fontId="4" fillId="4" borderId="0" xfId="1" applyNumberFormat="1" applyFont="1" applyFill="1" applyBorder="1" applyAlignment="1" applyProtection="1">
      <alignment horizontal="right"/>
    </xf>
    <xf numFmtId="40" fontId="4" fillId="4" borderId="0" xfId="1" applyFont="1" applyFill="1" applyBorder="1" applyAlignment="1" applyProtection="1">
      <alignment horizontal="right"/>
    </xf>
    <xf numFmtId="0" fontId="4" fillId="4" borderId="0" xfId="0" applyFont="1" applyFill="1"/>
    <xf numFmtId="0" fontId="8" fillId="4" borderId="0" xfId="0" applyNumberFormat="1" applyFont="1" applyFill="1" applyBorder="1" applyAlignment="1" applyProtection="1"/>
    <xf numFmtId="40" fontId="8" fillId="4" borderId="0" xfId="1" applyFont="1" applyFill="1" applyBorder="1" applyAlignment="1" applyProtection="1">
      <alignment horizontal="right"/>
    </xf>
    <xf numFmtId="38" fontId="0" fillId="4" borderId="0" xfId="1" applyNumberFormat="1" applyFont="1" applyFill="1"/>
    <xf numFmtId="0" fontId="0" fillId="4" borderId="0" xfId="0" applyFill="1" applyBorder="1"/>
    <xf numFmtId="10" fontId="4" fillId="4" borderId="0" xfId="1" applyNumberFormat="1" applyFont="1" applyFill="1" applyBorder="1" applyAlignment="1" applyProtection="1">
      <alignment horizontal="right"/>
    </xf>
    <xf numFmtId="10" fontId="4" fillId="0" borderId="0" xfId="0" applyNumberFormat="1" applyFont="1" applyFill="1"/>
    <xf numFmtId="38" fontId="0" fillId="0" borderId="0" xfId="1" applyNumberFormat="1" applyFont="1" applyFill="1"/>
    <xf numFmtId="10" fontId="4" fillId="0" borderId="4" xfId="0" applyNumberFormat="1" applyFont="1" applyFill="1" applyBorder="1"/>
    <xf numFmtId="10" fontId="4" fillId="0" borderId="0" xfId="5" applyNumberFormat="1" applyFont="1" applyFill="1"/>
    <xf numFmtId="10" fontId="4" fillId="0" borderId="2" xfId="0" applyNumberFormat="1" applyFont="1" applyFill="1" applyBorder="1"/>
    <xf numFmtId="38" fontId="0" fillId="0" borderId="0" xfId="1" applyNumberFormat="1" applyFont="1" applyFill="1" applyBorder="1"/>
    <xf numFmtId="10" fontId="4" fillId="0" borderId="0" xfId="0" applyNumberFormat="1" applyFont="1" applyFill="1" applyBorder="1"/>
    <xf numFmtId="10" fontId="4" fillId="0" borderId="1" xfId="0" applyNumberFormat="1" applyFont="1" applyFill="1" applyBorder="1"/>
    <xf numFmtId="0" fontId="8" fillId="0" borderId="0" xfId="0" applyFont="1" applyFill="1" applyBorder="1"/>
    <xf numFmtId="38" fontId="4" fillId="0" borderId="4" xfId="1" applyNumberFormat="1" applyFont="1" applyFill="1" applyBorder="1"/>
    <xf numFmtId="40" fontId="4" fillId="0" borderId="0" xfId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0" fontId="8" fillId="0" borderId="4" xfId="1" applyNumberFormat="1" applyFont="1" applyFill="1" applyBorder="1" applyAlignment="1">
      <alignment horizontal="right"/>
    </xf>
    <xf numFmtId="0" fontId="3" fillId="0" borderId="0" xfId="0" applyFont="1" applyFill="1"/>
    <xf numFmtId="0" fontId="13" fillId="0" borderId="0" xfId="3" applyFill="1" applyAlignment="1" applyProtection="1"/>
    <xf numFmtId="9" fontId="18" fillId="0" borderId="0" xfId="0" applyNumberFormat="1" applyFont="1" applyFill="1"/>
    <xf numFmtId="40" fontId="0" fillId="0" borderId="0" xfId="1" applyFont="1" applyFill="1"/>
    <xf numFmtId="10" fontId="0" fillId="0" borderId="0" xfId="0" applyNumberFormat="1" applyFill="1"/>
    <xf numFmtId="0" fontId="18" fillId="0" borderId="0" xfId="0" applyFont="1" applyFill="1"/>
    <xf numFmtId="9" fontId="0" fillId="0" borderId="0" xfId="0" applyNumberFormat="1" applyFill="1"/>
    <xf numFmtId="9" fontId="0" fillId="0" borderId="0" xfId="5" applyFont="1" applyFill="1"/>
    <xf numFmtId="10" fontId="4" fillId="0" borderId="0" xfId="5" applyNumberFormat="1" applyFont="1" applyFill="1" applyBorder="1" applyAlignment="1" applyProtection="1"/>
    <xf numFmtId="40" fontId="9" fillId="0" borderId="2" xfId="1" applyFont="1" applyFill="1" applyBorder="1" applyAlignment="1" applyProtection="1">
      <alignment horizontal="center"/>
    </xf>
    <xf numFmtId="0" fontId="0" fillId="0" borderId="2" xfId="0" applyBorder="1"/>
    <xf numFmtId="40" fontId="5" fillId="0" borderId="2" xfId="1" applyFont="1" applyFill="1" applyBorder="1" applyAlignment="1" applyProtection="1">
      <alignment horizontal="center"/>
    </xf>
    <xf numFmtId="38" fontId="9" fillId="0" borderId="2" xfId="1" applyNumberFormat="1" applyFont="1" applyFill="1" applyBorder="1" applyAlignment="1" applyProtection="1">
      <alignment horizontal="center"/>
    </xf>
    <xf numFmtId="38" fontId="5" fillId="0" borderId="2" xfId="1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/>
    <xf numFmtId="0" fontId="22" fillId="0" borderId="2" xfId="0" applyFont="1" applyBorder="1"/>
    <xf numFmtId="0" fontId="6" fillId="0" borderId="2" xfId="0" applyNumberFormat="1" applyFont="1" applyFill="1" applyBorder="1" applyAlignment="1" applyProtection="1"/>
    <xf numFmtId="40" fontId="9" fillId="0" borderId="2" xfId="1" applyFont="1" applyFill="1" applyBorder="1" applyAlignment="1" applyProtection="1">
      <alignment horizontal="right"/>
    </xf>
    <xf numFmtId="38" fontId="6" fillId="0" borderId="1" xfId="0" applyNumberFormat="1" applyFont="1" applyFill="1" applyBorder="1" applyAlignment="1" applyProtection="1">
      <alignment horizontal="right"/>
    </xf>
    <xf numFmtId="8" fontId="6" fillId="0" borderId="0" xfId="0" applyNumberFormat="1" applyFont="1" applyFill="1" applyBorder="1" applyAlignment="1" applyProtection="1">
      <alignment horizontal="right"/>
    </xf>
    <xf numFmtId="8" fontId="6" fillId="0" borderId="1" xfId="0" applyNumberFormat="1" applyFont="1" applyFill="1" applyBorder="1" applyAlignment="1" applyProtection="1">
      <alignment horizontal="right"/>
    </xf>
    <xf numFmtId="10" fontId="8" fillId="0" borderId="1" xfId="0" applyNumberFormat="1" applyFont="1" applyFill="1" applyBorder="1" applyAlignment="1" applyProtection="1"/>
    <xf numFmtId="40" fontId="9" fillId="0" borderId="0" xfId="1" applyFont="1" applyFill="1" applyBorder="1" applyAlignment="1">
      <alignment horizontal="center"/>
    </xf>
    <xf numFmtId="0" fontId="0" fillId="0" borderId="2" xfId="0" applyFill="1" applyBorder="1"/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/>
    <xf numFmtId="10" fontId="4" fillId="0" borderId="4" xfId="5" applyNumberFormat="1" applyFont="1" applyFill="1" applyBorder="1"/>
    <xf numFmtId="0" fontId="3" fillId="0" borderId="2" xfId="0" applyFont="1" applyBorder="1"/>
    <xf numFmtId="0" fontId="7" fillId="0" borderId="2" xfId="0" applyNumberFormat="1" applyFont="1" applyFill="1" applyBorder="1" applyAlignment="1" applyProtection="1"/>
    <xf numFmtId="0" fontId="22" fillId="0" borderId="2" xfId="0" applyFont="1" applyFill="1" applyBorder="1"/>
    <xf numFmtId="0" fontId="22" fillId="0" borderId="0" xfId="0" applyFont="1" applyFill="1" applyBorder="1"/>
    <xf numFmtId="38" fontId="6" fillId="0" borderId="4" xfId="1" applyNumberFormat="1" applyFont="1" applyFill="1" applyBorder="1" applyAlignment="1" applyProtection="1"/>
    <xf numFmtId="40" fontId="6" fillId="0" borderId="4" xfId="1" applyFont="1" applyFill="1" applyBorder="1" applyAlignment="1" applyProtection="1"/>
    <xf numFmtId="10" fontId="6" fillId="0" borderId="4" xfId="5" applyNumberFormat="1" applyFont="1" applyFill="1" applyBorder="1" applyAlignment="1" applyProtection="1"/>
    <xf numFmtId="4" fontId="5" fillId="0" borderId="2" xfId="0" applyNumberFormat="1" applyFont="1" applyFill="1" applyBorder="1" applyAlignment="1" applyProtection="1">
      <alignment horizontal="center"/>
    </xf>
    <xf numFmtId="10" fontId="4" fillId="0" borderId="0" xfId="0" applyNumberFormat="1" applyFont="1" applyFill="1" applyBorder="1" applyAlignment="1" applyProtection="1">
      <alignment horizontal="center"/>
    </xf>
    <xf numFmtId="10" fontId="4" fillId="0" borderId="4" xfId="0" applyNumberFormat="1" applyFont="1" applyFill="1" applyBorder="1" applyAlignment="1" applyProtection="1">
      <alignment horizontal="center"/>
    </xf>
    <xf numFmtId="10" fontId="4" fillId="4" borderId="0" xfId="0" applyNumberFormat="1" applyFont="1" applyFill="1" applyBorder="1" applyAlignment="1" applyProtection="1">
      <alignment horizontal="center"/>
    </xf>
    <xf numFmtId="10" fontId="4" fillId="0" borderId="2" xfId="0" applyNumberFormat="1" applyFont="1" applyFill="1" applyBorder="1" applyAlignment="1" applyProtection="1">
      <alignment horizontal="center"/>
    </xf>
    <xf numFmtId="10" fontId="4" fillId="0" borderId="1" xfId="0" applyNumberFormat="1" applyFont="1" applyFill="1" applyBorder="1" applyAlignment="1" applyProtection="1">
      <alignment horizontal="center"/>
    </xf>
    <xf numFmtId="40" fontId="4" fillId="0" borderId="2" xfId="1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4" applyFont="1" applyAlignment="1">
      <alignment horizontal="center"/>
    </xf>
    <xf numFmtId="0" fontId="5" fillId="2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</cellXfs>
  <cellStyles count="11">
    <cellStyle name="Comma" xfId="1" builtinId="3"/>
    <cellStyle name="Comma 2" xfId="7"/>
    <cellStyle name="Comma 2 2" xfId="10"/>
    <cellStyle name="Currency" xfId="2" builtinId="4"/>
    <cellStyle name="Hyperlink" xfId="3" builtinId="8"/>
    <cellStyle name="Normal" xfId="0" builtinId="0"/>
    <cellStyle name="Normal 2" xfId="6"/>
    <cellStyle name="Normal 2 2" xfId="9"/>
    <cellStyle name="Normal 3" xfId="8"/>
    <cellStyle name="Normal_muprog" xfId="4"/>
    <cellStyle name="Percent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536591</xdr:colOff>
      <xdr:row>17</xdr:row>
      <xdr:rowOff>9525</xdr:rowOff>
    </xdr:from>
    <xdr:ext cx="4444983" cy="1905000"/>
    <xdr:sp macro="" textlink="">
      <xdr:nvSpPr>
        <xdr:cNvPr id="2" name="Rectangle 1"/>
        <xdr:cNvSpPr/>
      </xdr:nvSpPr>
      <xdr:spPr>
        <a:xfrm rot="19831956">
          <a:off x="7489841" y="2419350"/>
          <a:ext cx="4444983" cy="19050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MU</a:t>
          </a:r>
          <a:r>
            <a:rPr lang="en-US" sz="5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Budget</a:t>
          </a:r>
        </a:p>
        <a:p>
          <a:pPr algn="ctr"/>
          <a:r>
            <a:rPr lang="en-US" sz="5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2012-2013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tabSelected="1" workbookViewId="0">
      <selection activeCell="I2" sqref="I2"/>
    </sheetView>
  </sheetViews>
  <sheetFormatPr defaultColWidth="10" defaultRowHeight="12" x14ac:dyDescent="0.2"/>
  <cols>
    <col min="1" max="1" width="8.28515625" style="6" customWidth="1"/>
    <col min="2" max="2" width="27" style="6" customWidth="1"/>
    <col min="3" max="3" width="16.28515625" style="1" customWidth="1"/>
    <col min="4" max="4" width="2.28515625" style="1" customWidth="1"/>
    <col min="5" max="5" width="16.28515625" style="1" customWidth="1"/>
    <col min="6" max="6" width="2.28515625" style="6" customWidth="1"/>
    <col min="7" max="7" width="16.28515625" style="7" customWidth="1"/>
    <col min="8" max="8" width="2.28515625" style="6" customWidth="1"/>
    <col min="9" max="9" width="16.28515625" style="16" customWidth="1"/>
    <col min="10" max="10" width="2.28515625" style="6" customWidth="1"/>
    <col min="11" max="11" width="15.140625" style="6" bestFit="1" customWidth="1"/>
    <col min="12" max="12" width="11.85546875" style="6" bestFit="1" customWidth="1"/>
    <col min="13" max="13" width="10.42578125" style="6" bestFit="1" customWidth="1"/>
    <col min="14" max="16384" width="10" style="6"/>
  </cols>
  <sheetData>
    <row r="1" spans="1:12" x14ac:dyDescent="0.2">
      <c r="G1" s="118"/>
      <c r="I1" s="114"/>
      <c r="L1" s="123"/>
    </row>
    <row r="2" spans="1:12" s="2" customFormat="1" ht="12.4" customHeight="1" x14ac:dyDescent="0.2">
      <c r="A2" s="4"/>
      <c r="B2" s="3"/>
      <c r="C2" s="3"/>
      <c r="D2" s="3"/>
      <c r="E2" s="3"/>
      <c r="F2" s="3"/>
      <c r="G2" s="3"/>
      <c r="H2" s="3"/>
      <c r="I2" s="22"/>
      <c r="J2" s="119"/>
      <c r="L2" s="123"/>
    </row>
    <row r="3" spans="1:12" s="2" customFormat="1" ht="12.75" x14ac:dyDescent="0.2">
      <c r="A3" s="326" t="s">
        <v>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124"/>
    </row>
    <row r="4" spans="1:12" ht="12.75" customHeight="1" x14ac:dyDescent="0.2">
      <c r="A4" s="326" t="s">
        <v>429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</row>
    <row r="5" spans="1:12" ht="12.75" customHeight="1" x14ac:dyDescent="0.2">
      <c r="A5" s="38"/>
      <c r="B5" s="8"/>
      <c r="C5" s="10"/>
      <c r="D5" s="10"/>
      <c r="E5" s="10"/>
      <c r="G5" s="10"/>
      <c r="H5" s="8"/>
      <c r="I5"/>
    </row>
    <row r="6" spans="1:12" x14ac:dyDescent="0.2">
      <c r="C6" s="47" t="s">
        <v>1</v>
      </c>
      <c r="D6" s="46"/>
      <c r="E6" s="46" t="s">
        <v>104</v>
      </c>
      <c r="F6" s="5"/>
      <c r="G6" s="47" t="s">
        <v>1</v>
      </c>
      <c r="H6" s="5"/>
      <c r="I6" s="47" t="s">
        <v>169</v>
      </c>
      <c r="J6" s="5"/>
      <c r="K6" s="47" t="s">
        <v>167</v>
      </c>
    </row>
    <row r="7" spans="1:12" x14ac:dyDescent="0.2">
      <c r="A7" s="8"/>
      <c r="B7" s="8"/>
      <c r="C7" s="47" t="s">
        <v>3</v>
      </c>
      <c r="D7" s="47"/>
      <c r="E7" s="47" t="s">
        <v>2</v>
      </c>
      <c r="F7" s="5"/>
      <c r="G7" s="47" t="s">
        <v>3</v>
      </c>
      <c r="H7" s="5"/>
      <c r="I7" s="48" t="s">
        <v>3</v>
      </c>
      <c r="J7" s="5"/>
      <c r="K7" s="48" t="s">
        <v>168</v>
      </c>
    </row>
    <row r="8" spans="1:12" x14ac:dyDescent="0.2">
      <c r="A8" s="299"/>
      <c r="B8" s="299"/>
      <c r="C8" s="49" t="s">
        <v>158</v>
      </c>
      <c r="D8" s="49"/>
      <c r="E8" s="49" t="s">
        <v>158</v>
      </c>
      <c r="F8" s="309"/>
      <c r="G8" s="49" t="s">
        <v>159</v>
      </c>
      <c r="H8" s="309"/>
      <c r="I8" s="49" t="s">
        <v>170</v>
      </c>
      <c r="J8" s="299"/>
      <c r="K8" s="49" t="s">
        <v>171</v>
      </c>
    </row>
    <row r="9" spans="1:12" x14ac:dyDescent="0.2">
      <c r="A9" s="6" t="s">
        <v>4</v>
      </c>
    </row>
    <row r="10" spans="1:12" x14ac:dyDescent="0.2">
      <c r="B10" s="6" t="s">
        <v>220</v>
      </c>
      <c r="C10" s="97">
        <f>munadm!C49</f>
        <v>4440081</v>
      </c>
      <c r="D10" s="97"/>
      <c r="E10" s="97">
        <f>munadm!E49</f>
        <v>4396509.13</v>
      </c>
      <c r="G10" s="121">
        <f>munadm!G49</f>
        <v>4138222</v>
      </c>
      <c r="I10" s="121">
        <f>munadm!$I$49</f>
        <v>4485800</v>
      </c>
      <c r="J10" s="251"/>
      <c r="K10" s="156">
        <f>+(I10-G10)/G10</f>
        <v>8.3992110621421465E-2</v>
      </c>
    </row>
    <row r="11" spans="1:12" x14ac:dyDescent="0.2">
      <c r="B11" s="6" t="s">
        <v>221</v>
      </c>
      <c r="C11" s="97">
        <f>munbld!C11</f>
        <v>191196</v>
      </c>
      <c r="D11" s="97"/>
      <c r="E11" s="97">
        <f>munbld!E11</f>
        <v>126572.59</v>
      </c>
      <c r="G11" s="121">
        <f>munbld!G11</f>
        <v>194296</v>
      </c>
      <c r="I11" s="121">
        <f>munbld!I11</f>
        <v>194296</v>
      </c>
      <c r="J11" s="251"/>
      <c r="K11" s="156">
        <f t="shared" ref="K11:K23" si="0">+(I11-G11)/G11</f>
        <v>0</v>
      </c>
    </row>
    <row r="12" spans="1:12" x14ac:dyDescent="0.2">
      <c r="B12" s="6" t="s">
        <v>222</v>
      </c>
      <c r="C12" s="97">
        <f>+munavs!C11</f>
        <v>265025</v>
      </c>
      <c r="D12" s="97"/>
      <c r="E12" s="97">
        <f>+munavs!E11</f>
        <v>264962.61</v>
      </c>
      <c r="G12" s="121">
        <f>+munavs!G11</f>
        <v>265025</v>
      </c>
      <c r="I12" s="121">
        <f>munavs!I11</f>
        <v>273025</v>
      </c>
      <c r="J12" s="251"/>
      <c r="K12" s="156">
        <f t="shared" si="0"/>
        <v>3.0185831525327798E-2</v>
      </c>
    </row>
    <row r="13" spans="1:12" x14ac:dyDescent="0.2">
      <c r="B13" s="6" t="s">
        <v>156</v>
      </c>
      <c r="C13" s="97">
        <f>munfac!E13+munrep!C7</f>
        <v>849015</v>
      </c>
      <c r="D13" s="97"/>
      <c r="E13" s="97">
        <f>munfac!G13+munrep!E7</f>
        <v>876561.29</v>
      </c>
      <c r="G13" s="121">
        <f>munfac!I13+munrep!G7</f>
        <v>849015</v>
      </c>
      <c r="I13" s="121">
        <f>munfac!$K$13+munrep!I7</f>
        <v>867674.75</v>
      </c>
      <c r="J13" s="251"/>
      <c r="K13" s="156">
        <f t="shared" si="0"/>
        <v>2.1978115816563899E-2</v>
      </c>
    </row>
    <row r="14" spans="1:12" x14ac:dyDescent="0.2">
      <c r="B14" s="6" t="s">
        <v>79</v>
      </c>
      <c r="C14" s="97">
        <f>+muncus!C9</f>
        <v>113386</v>
      </c>
      <c r="D14" s="97"/>
      <c r="E14" s="97">
        <f>+muncus!E9</f>
        <v>115276</v>
      </c>
      <c r="G14" s="121">
        <f>+muncus!G9</f>
        <v>113386</v>
      </c>
      <c r="I14" s="121">
        <f>+muncus!I9</f>
        <v>114633</v>
      </c>
      <c r="J14" s="251"/>
      <c r="K14" s="156">
        <f t="shared" si="0"/>
        <v>1.0997830419981303E-2</v>
      </c>
    </row>
    <row r="15" spans="1:12" x14ac:dyDescent="0.2">
      <c r="B15" s="6" t="s">
        <v>416</v>
      </c>
      <c r="C15" s="97">
        <v>0</v>
      </c>
      <c r="D15" s="97"/>
      <c r="E15" s="97">
        <v>0</v>
      </c>
      <c r="G15" s="121">
        <v>0</v>
      </c>
      <c r="I15" s="121">
        <f>munest!K7</f>
        <v>20000</v>
      </c>
      <c r="J15" s="251"/>
      <c r="K15" s="156">
        <v>1</v>
      </c>
    </row>
    <row r="16" spans="1:12" x14ac:dyDescent="0.2">
      <c r="B16" s="6" t="s">
        <v>164</v>
      </c>
      <c r="C16" s="97">
        <f>munlan!C16</f>
        <v>85106</v>
      </c>
      <c r="D16" s="97"/>
      <c r="E16" s="165">
        <f>munlan!E16</f>
        <v>86786.54</v>
      </c>
      <c r="G16" s="121">
        <f>munlan!G16</f>
        <v>89854</v>
      </c>
      <c r="I16" s="121">
        <f>munlan!I16</f>
        <v>86780</v>
      </c>
      <c r="J16" s="251"/>
      <c r="K16" s="156">
        <f t="shared" si="0"/>
        <v>-3.4211053486767423E-2</v>
      </c>
    </row>
    <row r="17" spans="1:11" x14ac:dyDescent="0.2">
      <c r="B17" s="6" t="s">
        <v>6</v>
      </c>
      <c r="C17" s="97">
        <f>muncra!C15</f>
        <v>96707</v>
      </c>
      <c r="D17" s="97"/>
      <c r="E17" s="97">
        <f>muncra!E15</f>
        <v>95146.49</v>
      </c>
      <c r="G17" s="121">
        <f>muncra!G15</f>
        <v>99796</v>
      </c>
      <c r="I17" s="121">
        <f>muncra!I15</f>
        <v>99829.27</v>
      </c>
      <c r="J17" s="251"/>
      <c r="K17" s="156">
        <f t="shared" si="0"/>
        <v>3.3338009539464583E-4</v>
      </c>
    </row>
    <row r="18" spans="1:11" x14ac:dyDescent="0.2">
      <c r="B18" s="6" t="s">
        <v>7</v>
      </c>
      <c r="C18" s="97">
        <f>mun72f!C7</f>
        <v>1600</v>
      </c>
      <c r="D18" s="97"/>
      <c r="E18" s="97">
        <f>mun72f!E7</f>
        <v>2486</v>
      </c>
      <c r="G18" s="170">
        <f>mun72f!G7</f>
        <v>1790</v>
      </c>
      <c r="I18" s="170">
        <f>mun72f!I7</f>
        <v>1843.7</v>
      </c>
      <c r="J18" s="251"/>
      <c r="K18" s="156">
        <f t="shared" si="0"/>
        <v>3.0000000000000027E-2</v>
      </c>
    </row>
    <row r="19" spans="1:11" x14ac:dyDescent="0.2">
      <c r="B19" s="6" t="s">
        <v>109</v>
      </c>
      <c r="C19" s="97">
        <f>mun99F!C9</f>
        <v>13860</v>
      </c>
      <c r="D19" s="97"/>
      <c r="E19" s="97">
        <f>mun99F!E9</f>
        <v>13385</v>
      </c>
      <c r="G19" s="121">
        <f>+mun99F!G9</f>
        <v>13860</v>
      </c>
      <c r="I19" s="121">
        <f>mun99F!I9</f>
        <v>13385</v>
      </c>
      <c r="J19" s="251"/>
      <c r="K19" s="156">
        <f t="shared" si="0"/>
        <v>-3.4271284271284272E-2</v>
      </c>
    </row>
    <row r="20" spans="1:11" x14ac:dyDescent="0.2">
      <c r="B20" s="6" t="s">
        <v>11</v>
      </c>
      <c r="C20" s="97" t="s">
        <v>104</v>
      </c>
      <c r="D20" s="97"/>
      <c r="E20" s="97">
        <f>muntec!E9</f>
        <v>55.44</v>
      </c>
      <c r="G20" s="97">
        <f>muntec!G9</f>
        <v>0</v>
      </c>
      <c r="I20" s="121">
        <f>muntec!I9</f>
        <v>0</v>
      </c>
      <c r="J20" s="251"/>
      <c r="K20" s="156">
        <v>0</v>
      </c>
    </row>
    <row r="21" spans="1:11" x14ac:dyDescent="0.2">
      <c r="B21" s="6" t="s">
        <v>166</v>
      </c>
      <c r="C21" s="97">
        <f>munpub!C11</f>
        <v>56856</v>
      </c>
      <c r="D21" s="97"/>
      <c r="E21" s="97">
        <f>munpub!E11</f>
        <v>8236.68</v>
      </c>
      <c r="G21" s="121">
        <f>munpub!G11</f>
        <v>53929</v>
      </c>
      <c r="I21" s="121">
        <f>munpub!I11</f>
        <v>32875</v>
      </c>
      <c r="J21" s="251"/>
      <c r="K21" s="156">
        <f t="shared" si="0"/>
        <v>-0.39040219547924121</v>
      </c>
    </row>
    <row r="22" spans="1:11" x14ac:dyDescent="0.2">
      <c r="B22" s="6" t="s">
        <v>121</v>
      </c>
      <c r="C22" s="97">
        <f>MSLI!C11</f>
        <v>218484</v>
      </c>
      <c r="D22" s="97"/>
      <c r="E22" s="97">
        <f>MSLI!E11</f>
        <v>268396.89999999997</v>
      </c>
      <c r="G22" s="170">
        <f>MSLI!G11</f>
        <v>255750</v>
      </c>
      <c r="I22" s="171">
        <f>MSLI!I11</f>
        <v>288850</v>
      </c>
      <c r="J22" s="251"/>
      <c r="K22" s="156">
        <f t="shared" si="0"/>
        <v>0.12942326490713588</v>
      </c>
    </row>
    <row r="23" spans="1:11" x14ac:dyDescent="0.2">
      <c r="B23" s="6" t="s">
        <v>85</v>
      </c>
      <c r="C23" s="97">
        <f>MURFS!C13</f>
        <v>2277455</v>
      </c>
      <c r="D23" s="97"/>
      <c r="E23" s="97">
        <f>MURFS!E13</f>
        <v>2654076.9299999997</v>
      </c>
      <c r="G23" s="231">
        <f>MURFS!G13</f>
        <v>2559715</v>
      </c>
      <c r="I23" s="171">
        <f>MURFS!I13</f>
        <v>2850255</v>
      </c>
      <c r="J23" s="251"/>
      <c r="K23" s="156">
        <f t="shared" si="0"/>
        <v>0.1135048237792098</v>
      </c>
    </row>
    <row r="24" spans="1:11" x14ac:dyDescent="0.2">
      <c r="B24" s="6" t="s">
        <v>9</v>
      </c>
      <c r="C24" s="177">
        <f>SUM(C10:C23)</f>
        <v>8608771</v>
      </c>
      <c r="D24" s="16"/>
      <c r="E24" s="177">
        <f>SUM(E10:E23)</f>
        <v>8908451.6000000015</v>
      </c>
      <c r="G24" s="250">
        <f>SUM(G10:G23)</f>
        <v>8634638</v>
      </c>
      <c r="I24" s="198">
        <f>SUM(I10:I23)</f>
        <v>9329246.7199999988</v>
      </c>
      <c r="J24" s="252"/>
      <c r="K24" s="247">
        <f>+(I24-G24)/G24</f>
        <v>8.0444451753507076E-2</v>
      </c>
    </row>
    <row r="25" spans="1:11" x14ac:dyDescent="0.2">
      <c r="G25" s="98"/>
      <c r="I25" s="121"/>
    </row>
    <row r="26" spans="1:11" x14ac:dyDescent="0.2">
      <c r="A26" s="6" t="s">
        <v>10</v>
      </c>
      <c r="G26" s="98"/>
      <c r="I26" s="121"/>
    </row>
    <row r="27" spans="1:11" x14ac:dyDescent="0.2">
      <c r="B27" s="6" t="s">
        <v>5</v>
      </c>
      <c r="C27" s="97">
        <f>munadm!C45</f>
        <v>837381</v>
      </c>
      <c r="D27" s="97"/>
      <c r="E27" s="97">
        <f>munadm!E45</f>
        <v>721892.94000000006</v>
      </c>
      <c r="G27" s="121">
        <f>munadm!G45</f>
        <v>619539</v>
      </c>
      <c r="I27" s="121">
        <f>munadm!I45</f>
        <v>584515.68999999994</v>
      </c>
      <c r="J27" s="121"/>
      <c r="K27" s="156">
        <f t="shared" ref="K27:K41" si="1">+(I27-G27)/G27</f>
        <v>-5.6531243392264341E-2</v>
      </c>
    </row>
    <row r="28" spans="1:11" x14ac:dyDescent="0.2">
      <c r="B28" s="6" t="s">
        <v>80</v>
      </c>
      <c r="C28" s="97">
        <f>munbld!C36</f>
        <v>484781</v>
      </c>
      <c r="D28" s="97"/>
      <c r="E28" s="97">
        <f>munbld!E36</f>
        <v>478995.94</v>
      </c>
      <c r="G28" s="121">
        <f>munbld!G36</f>
        <v>362759</v>
      </c>
      <c r="I28" s="121">
        <f>munbld!I36</f>
        <v>378346.32000000007</v>
      </c>
      <c r="J28" s="121"/>
      <c r="K28" s="156">
        <f t="shared" si="1"/>
        <v>4.2968802979388702E-2</v>
      </c>
    </row>
    <row r="29" spans="1:11" x14ac:dyDescent="0.2">
      <c r="B29" s="6" t="s">
        <v>107</v>
      </c>
      <c r="C29" s="97">
        <f>+munavs!C34</f>
        <v>167258</v>
      </c>
      <c r="D29" s="97"/>
      <c r="E29" s="97">
        <f>+munavs!E34</f>
        <v>201865.46999999997</v>
      </c>
      <c r="G29" s="121">
        <f>+munavs!G34</f>
        <v>180781</v>
      </c>
      <c r="I29" s="121">
        <f>munavs!I34</f>
        <v>198235.31438699999</v>
      </c>
      <c r="J29" s="251"/>
      <c r="K29" s="156">
        <f t="shared" si="1"/>
        <v>9.6549495726873907E-2</v>
      </c>
    </row>
    <row r="30" spans="1:11" x14ac:dyDescent="0.2">
      <c r="B30" s="6" t="s">
        <v>105</v>
      </c>
      <c r="C30" s="97">
        <f>munfac!E42</f>
        <v>911174</v>
      </c>
      <c r="D30" s="97"/>
      <c r="E30" s="97">
        <f>munfac!G42</f>
        <v>740581.75</v>
      </c>
      <c r="G30" s="121">
        <f>munfac!I42</f>
        <v>943624</v>
      </c>
      <c r="I30" s="121">
        <f>munfac!K42</f>
        <v>1018022.726639</v>
      </c>
      <c r="J30" s="251"/>
      <c r="K30" s="156">
        <f t="shared" si="1"/>
        <v>7.8843614235119069E-2</v>
      </c>
    </row>
    <row r="31" spans="1:11" x14ac:dyDescent="0.2">
      <c r="B31" s="6" t="s">
        <v>106</v>
      </c>
      <c r="C31" s="97">
        <f>+munrep!C30</f>
        <v>592605</v>
      </c>
      <c r="D31" s="97"/>
      <c r="E31" s="97">
        <f>+munrep!E30</f>
        <v>301343.20999999996</v>
      </c>
      <c r="G31" s="121">
        <f>+munrep!G30</f>
        <v>593454</v>
      </c>
      <c r="I31" s="121">
        <f>+munrep!I30</f>
        <v>608382.80170800001</v>
      </c>
      <c r="J31" s="251"/>
      <c r="K31" s="156">
        <f t="shared" si="1"/>
        <v>2.5155785803111973E-2</v>
      </c>
    </row>
    <row r="32" spans="1:11" x14ac:dyDescent="0.2">
      <c r="B32" s="6" t="s">
        <v>79</v>
      </c>
      <c r="C32" s="97">
        <f>muncus!C32</f>
        <v>626860</v>
      </c>
      <c r="D32" s="97"/>
      <c r="E32" s="97">
        <f>muncus!E32</f>
        <v>584750.14</v>
      </c>
      <c r="G32" s="121">
        <f>+muncus!G32</f>
        <v>643112</v>
      </c>
      <c r="I32" s="121">
        <f>+muncus!I32</f>
        <v>660520.49635499995</v>
      </c>
      <c r="J32" s="251"/>
      <c r="K32" s="156">
        <f t="shared" si="1"/>
        <v>2.7069151804040278E-2</v>
      </c>
    </row>
    <row r="33" spans="1:13" x14ac:dyDescent="0.2">
      <c r="B33" s="6" t="s">
        <v>8</v>
      </c>
      <c r="C33" s="97">
        <f>munest!E39</f>
        <v>380905</v>
      </c>
      <c r="D33" s="97"/>
      <c r="E33" s="97">
        <f>munest!G39</f>
        <v>344106.15</v>
      </c>
      <c r="G33" s="121">
        <f>munest!I39</f>
        <v>397383</v>
      </c>
      <c r="I33" s="121">
        <f>munest!K39</f>
        <v>425206.89221299998</v>
      </c>
      <c r="J33" s="251"/>
      <c r="K33" s="156">
        <f t="shared" si="1"/>
        <v>7.0017822133810415E-2</v>
      </c>
    </row>
    <row r="34" spans="1:13" x14ac:dyDescent="0.2">
      <c r="B34" s="6" t="s">
        <v>165</v>
      </c>
      <c r="C34" s="97">
        <f>munlan!C38</f>
        <v>71326</v>
      </c>
      <c r="D34" s="97"/>
      <c r="E34" s="97">
        <f>munlan!E38</f>
        <v>74239.360000000001</v>
      </c>
      <c r="G34" s="121">
        <f>munlan!G38</f>
        <v>73738</v>
      </c>
      <c r="I34" s="121">
        <f>munlan!I38</f>
        <v>80123.031736999998</v>
      </c>
      <c r="J34" s="251"/>
      <c r="K34" s="156">
        <f t="shared" si="1"/>
        <v>8.6590790867666564E-2</v>
      </c>
    </row>
    <row r="35" spans="1:13" x14ac:dyDescent="0.2">
      <c r="B35" s="6" t="s">
        <v>6</v>
      </c>
      <c r="C35" s="97">
        <f>muncra!C42</f>
        <v>163785</v>
      </c>
      <c r="D35" s="97"/>
      <c r="E35" s="97">
        <f>muncra!E42</f>
        <v>167588.66000000003</v>
      </c>
      <c r="G35" s="121">
        <f>muncra!G42</f>
        <v>166966</v>
      </c>
      <c r="I35" s="121">
        <f>muncra!I42</f>
        <v>172959.30983699998</v>
      </c>
      <c r="J35" s="251"/>
      <c r="K35" s="156">
        <f t="shared" si="1"/>
        <v>3.5895390899943577E-2</v>
      </c>
    </row>
    <row r="36" spans="1:13" x14ac:dyDescent="0.2">
      <c r="B36" s="6" t="s">
        <v>7</v>
      </c>
      <c r="C36" s="97">
        <f>mun72f!C43</f>
        <v>9471</v>
      </c>
      <c r="D36" s="97"/>
      <c r="E36" s="97">
        <f>mun72f!E43</f>
        <v>5237</v>
      </c>
      <c r="G36" s="121">
        <f>mun72f!G43</f>
        <v>9471</v>
      </c>
      <c r="I36" s="121">
        <f>mun72f!I43</f>
        <v>9795.7772999999997</v>
      </c>
      <c r="J36" s="251"/>
      <c r="K36" s="156">
        <f t="shared" si="1"/>
        <v>3.4291764333227719E-2</v>
      </c>
    </row>
    <row r="37" spans="1:13" x14ac:dyDescent="0.2">
      <c r="B37" s="6" t="s">
        <v>109</v>
      </c>
      <c r="C37" s="97">
        <f>mun99F!C33</f>
        <v>51810</v>
      </c>
      <c r="D37" s="97"/>
      <c r="E37" s="97">
        <f>mun99F!E33</f>
        <v>34879.97</v>
      </c>
      <c r="G37" s="121">
        <f>+mun99F!G33</f>
        <v>64427</v>
      </c>
      <c r="I37" s="121">
        <f>mun99F!I33</f>
        <v>66097.5</v>
      </c>
      <c r="J37" s="251"/>
      <c r="K37" s="156">
        <f t="shared" si="1"/>
        <v>2.5928570319896937E-2</v>
      </c>
    </row>
    <row r="38" spans="1:13" x14ac:dyDescent="0.2">
      <c r="B38" s="6" t="s">
        <v>11</v>
      </c>
      <c r="C38" s="97">
        <f>muntec!C29</f>
        <v>67076</v>
      </c>
      <c r="D38" s="97"/>
      <c r="E38" s="97">
        <f>muntec!E29</f>
        <v>62011.009999999995</v>
      </c>
      <c r="F38" s="39"/>
      <c r="G38" s="171">
        <f>muntec!G29</f>
        <v>67874</v>
      </c>
      <c r="H38" s="39"/>
      <c r="I38" s="171">
        <f>muntec!I29</f>
        <v>84430.788308000003</v>
      </c>
      <c r="J38" s="251"/>
      <c r="K38" s="156">
        <f t="shared" si="1"/>
        <v>0.24393417668031947</v>
      </c>
    </row>
    <row r="39" spans="1:13" x14ac:dyDescent="0.2">
      <c r="B39" s="6" t="s">
        <v>166</v>
      </c>
      <c r="C39" s="97">
        <f>munpub!C37</f>
        <v>392030</v>
      </c>
      <c r="D39" s="97"/>
      <c r="E39" s="97">
        <f>munpub!E37</f>
        <v>384688.37</v>
      </c>
      <c r="G39" s="121">
        <f>munpub!G37</f>
        <v>459349</v>
      </c>
      <c r="I39" s="121">
        <f>munpub!I37</f>
        <v>419684.41000000003</v>
      </c>
      <c r="J39" s="251"/>
      <c r="K39" s="156">
        <f t="shared" si="1"/>
        <v>-8.6349572982634043E-2</v>
      </c>
    </row>
    <row r="40" spans="1:13" x14ac:dyDescent="0.2">
      <c r="B40" s="6" t="s">
        <v>121</v>
      </c>
      <c r="C40" s="97">
        <f>MSLI!C40</f>
        <v>1578004</v>
      </c>
      <c r="D40" s="97"/>
      <c r="E40" s="97">
        <f>MSLI!E40</f>
        <v>1627765.71</v>
      </c>
      <c r="G40" s="121">
        <f>MSLI!G40</f>
        <v>1555106</v>
      </c>
      <c r="I40" s="121">
        <f>MSLI!I40</f>
        <v>1788241.337934</v>
      </c>
      <c r="J40" s="121"/>
      <c r="K40" s="156">
        <f t="shared" si="1"/>
        <v>0.14991604297970682</v>
      </c>
    </row>
    <row r="41" spans="1:13" x14ac:dyDescent="0.2">
      <c r="B41" s="6" t="s">
        <v>85</v>
      </c>
      <c r="C41" s="97">
        <f>MURFS!C50</f>
        <v>2277033</v>
      </c>
      <c r="D41" s="97"/>
      <c r="E41" s="97">
        <f>MURFS!E50</f>
        <v>2534341.1</v>
      </c>
      <c r="G41" s="121">
        <f>MURFS!G50</f>
        <v>2508026</v>
      </c>
      <c r="I41" s="121">
        <f>MURFS!I50</f>
        <v>2840824</v>
      </c>
      <c r="J41" s="97"/>
      <c r="K41" s="156">
        <f t="shared" si="1"/>
        <v>0.13269320174511748</v>
      </c>
    </row>
    <row r="42" spans="1:13" x14ac:dyDescent="0.2">
      <c r="B42" s="6" t="s">
        <v>96</v>
      </c>
      <c r="C42" s="97" t="s">
        <v>104</v>
      </c>
      <c r="D42" s="97"/>
      <c r="E42" s="160"/>
      <c r="G42" s="121"/>
      <c r="I42" s="121"/>
    </row>
    <row r="43" spans="1:13" x14ac:dyDescent="0.2">
      <c r="B43" s="6" t="s">
        <v>12</v>
      </c>
      <c r="C43" s="177">
        <f>SUM(C27:C42)</f>
        <v>8611499</v>
      </c>
      <c r="D43" s="16"/>
      <c r="E43" s="177">
        <f>SUM(E27:E42)</f>
        <v>8264286.7799999993</v>
      </c>
      <c r="G43" s="250">
        <f>SUM(G27:G42)</f>
        <v>8645609</v>
      </c>
      <c r="I43" s="198">
        <f>SUM(I27:I42)</f>
        <v>9335386.3964179996</v>
      </c>
      <c r="J43" s="97"/>
      <c r="K43" s="247">
        <f>+(I43-G43)/G43</f>
        <v>7.9783552138200986E-2</v>
      </c>
    </row>
    <row r="44" spans="1:13" ht="12.75" customHeight="1" x14ac:dyDescent="0.2">
      <c r="K44" s="23"/>
      <c r="M44" s="23"/>
    </row>
    <row r="45" spans="1:13" ht="12" customHeight="1" x14ac:dyDescent="0.2">
      <c r="A45" s="6" t="s">
        <v>52</v>
      </c>
      <c r="C45" s="1">
        <f>+C24-C43</f>
        <v>-2728</v>
      </c>
      <c r="E45" s="1">
        <f>+E24-E43</f>
        <v>644164.82000000216</v>
      </c>
      <c r="G45" s="1">
        <f>+G24-G43</f>
        <v>-10971</v>
      </c>
      <c r="I45" s="1">
        <f>+I24-I43</f>
        <v>-6139.6764180008322</v>
      </c>
      <c r="J45" s="23"/>
    </row>
    <row r="46" spans="1:13" ht="12.75" customHeight="1" x14ac:dyDescent="0.2">
      <c r="B46" s="6" t="s">
        <v>100</v>
      </c>
      <c r="C46" s="1">
        <v>313632</v>
      </c>
      <c r="E46" s="1">
        <v>309245.76</v>
      </c>
      <c r="G46" s="1">
        <v>313632</v>
      </c>
      <c r="I46" s="1">
        <v>313632</v>
      </c>
    </row>
    <row r="47" spans="1:13" ht="12.75" customHeight="1" x14ac:dyDescent="0.2">
      <c r="B47" s="6" t="s">
        <v>102</v>
      </c>
      <c r="C47" s="1">
        <v>0</v>
      </c>
      <c r="I47" s="1"/>
    </row>
    <row r="48" spans="1:13" ht="13.5" customHeight="1" thickBot="1" x14ac:dyDescent="0.25">
      <c r="A48" s="9" t="s">
        <v>113</v>
      </c>
      <c r="B48" s="9"/>
      <c r="C48" s="94">
        <f>+C45-C46-C47</f>
        <v>-316360</v>
      </c>
      <c r="D48" s="94"/>
      <c r="E48" s="94">
        <f>+E45-E46</f>
        <v>334919.06000000215</v>
      </c>
      <c r="F48" s="9"/>
      <c r="G48" s="94">
        <f>+G45-G46</f>
        <v>-324603</v>
      </c>
      <c r="H48" s="9"/>
      <c r="I48" s="94">
        <f>+I45-I46</f>
        <v>-319771.67641800083</v>
      </c>
    </row>
    <row r="49" spans="2:12" ht="10.9" customHeight="1" thickTop="1" x14ac:dyDescent="0.2"/>
    <row r="50" spans="2:12" ht="10.9" customHeight="1" x14ac:dyDescent="0.2"/>
    <row r="51" spans="2:12" ht="10.9" customHeight="1" x14ac:dyDescent="0.2">
      <c r="I51" s="48"/>
      <c r="J51" s="152"/>
      <c r="K51" s="152"/>
    </row>
    <row r="52" spans="2:12" x14ac:dyDescent="0.2">
      <c r="C52" s="55" t="str">
        <f>C6</f>
        <v>APPROVED</v>
      </c>
      <c r="D52" s="55"/>
      <c r="E52" s="55"/>
      <c r="F52" s="56"/>
      <c r="G52" s="55" t="str">
        <f>G6</f>
        <v>APPROVED</v>
      </c>
      <c r="H52" s="56"/>
      <c r="I52" s="45" t="str">
        <f>I6</f>
        <v>REQUESTED</v>
      </c>
      <c r="K52" s="152"/>
    </row>
    <row r="53" spans="2:12" x14ac:dyDescent="0.2">
      <c r="C53" s="55" t="str">
        <f>C7</f>
        <v>BUDGET</v>
      </c>
      <c r="D53" s="55"/>
      <c r="E53" s="47" t="s">
        <v>2</v>
      </c>
      <c r="F53" s="56"/>
      <c r="G53" s="55" t="str">
        <f>G7</f>
        <v>BUDGET</v>
      </c>
      <c r="H53" s="56"/>
      <c r="I53" s="45" t="str">
        <f>I7</f>
        <v>BUDGET</v>
      </c>
      <c r="J53" s="152"/>
      <c r="K53" s="152"/>
    </row>
    <row r="54" spans="2:12" x14ac:dyDescent="0.2">
      <c r="B54" s="6" t="s">
        <v>13</v>
      </c>
      <c r="C54" s="58" t="str">
        <f>C8</f>
        <v>2010-11</v>
      </c>
      <c r="D54" s="58"/>
      <c r="E54" s="49" t="s">
        <v>158</v>
      </c>
      <c r="F54" s="57"/>
      <c r="G54" s="58" t="str">
        <f>G8</f>
        <v>2011 -12</v>
      </c>
      <c r="H54" s="57"/>
      <c r="I54" s="59" t="str">
        <f>I8</f>
        <v>2012 -13</v>
      </c>
      <c r="J54" s="152"/>
      <c r="K54" s="152"/>
    </row>
    <row r="55" spans="2:12" x14ac:dyDescent="0.2">
      <c r="B55" s="5" t="s">
        <v>14</v>
      </c>
      <c r="C55" s="128">
        <f>ROUND(( SUM(C60*C64*3)),0)</f>
        <v>4082940</v>
      </c>
      <c r="D55" s="128"/>
      <c r="E55" s="128">
        <v>4082940</v>
      </c>
      <c r="G55" s="128">
        <f>ROUND(SUM(G60*G64),0)</f>
        <v>3808662</v>
      </c>
      <c r="I55" s="128">
        <f>ROUND(SUM(I60*I64),0)</f>
        <v>4117828</v>
      </c>
      <c r="J55" s="153"/>
      <c r="K55" s="23"/>
    </row>
    <row r="56" spans="2:12" x14ac:dyDescent="0.2">
      <c r="B56" s="5" t="s">
        <v>15</v>
      </c>
      <c r="C56" s="159">
        <f>ROUND(SUM(C61*C65),0)</f>
        <v>290030</v>
      </c>
      <c r="D56" s="128"/>
      <c r="E56" s="159">
        <v>290030</v>
      </c>
      <c r="G56" s="159">
        <f>ROUND(SUM(G61*G65),0)</f>
        <v>310960</v>
      </c>
      <c r="I56" s="159">
        <f>ROUND(SUM(I61*I65),0)</f>
        <v>322920</v>
      </c>
      <c r="K56" s="23"/>
    </row>
    <row r="57" spans="2:12" x14ac:dyDescent="0.2">
      <c r="B57" s="5" t="s">
        <v>16</v>
      </c>
      <c r="C57" s="128">
        <f>SUM(C55:C56)</f>
        <v>4372970</v>
      </c>
      <c r="D57" s="128"/>
      <c r="E57" s="128">
        <f>SUM(E55:E56)</f>
        <v>4372970</v>
      </c>
      <c r="G57" s="128">
        <f>SUM(G55:G56)</f>
        <v>4119622</v>
      </c>
      <c r="I57" s="128">
        <f>SUM(I55:I56)</f>
        <v>4440748</v>
      </c>
      <c r="J57" s="23"/>
      <c r="K57" s="23"/>
      <c r="L57" s="23"/>
    </row>
    <row r="58" spans="2:12" ht="7.9" customHeight="1" x14ac:dyDescent="0.2">
      <c r="C58" s="128"/>
      <c r="D58" s="131"/>
      <c r="E58" s="131"/>
      <c r="G58" s="128"/>
      <c r="I58" s="128"/>
    </row>
    <row r="59" spans="2:12" ht="13.9" customHeight="1" x14ac:dyDescent="0.2">
      <c r="B59" s="6" t="s">
        <v>17</v>
      </c>
      <c r="C59" s="128"/>
      <c r="D59" s="6"/>
      <c r="E59" s="6"/>
      <c r="G59" s="128"/>
      <c r="I59" s="128"/>
    </row>
    <row r="60" spans="2:12" x14ac:dyDescent="0.2">
      <c r="B60" s="5" t="s">
        <v>14</v>
      </c>
      <c r="C60" s="127">
        <v>18000</v>
      </c>
      <c r="D60" s="132"/>
      <c r="E60" s="132"/>
      <c r="G60" s="127">
        <v>57900</v>
      </c>
      <c r="H60" s="130"/>
      <c r="I60" s="127">
        <v>62600</v>
      </c>
      <c r="J60" s="154"/>
      <c r="K60" s="154"/>
    </row>
    <row r="61" spans="2:12" x14ac:dyDescent="0.2">
      <c r="B61" s="5" t="s">
        <v>15</v>
      </c>
      <c r="C61" s="127">
        <v>4850</v>
      </c>
      <c r="D61" s="132"/>
      <c r="E61" s="132"/>
      <c r="G61" s="127">
        <v>5200</v>
      </c>
      <c r="H61" s="130"/>
      <c r="I61" s="127">
        <v>5400</v>
      </c>
      <c r="J61" s="154"/>
      <c r="K61" s="154"/>
    </row>
    <row r="62" spans="2:12" ht="6" customHeight="1" x14ac:dyDescent="0.2">
      <c r="C62" s="128"/>
      <c r="D62" s="128"/>
      <c r="E62" s="128"/>
      <c r="G62" s="128"/>
      <c r="I62" s="128"/>
    </row>
    <row r="63" spans="2:12" x14ac:dyDescent="0.2">
      <c r="B63" s="6" t="s">
        <v>18</v>
      </c>
      <c r="C63" s="128"/>
      <c r="D63" s="128"/>
      <c r="E63" s="128"/>
      <c r="G63" s="128"/>
      <c r="I63" s="128"/>
    </row>
    <row r="64" spans="2:12" x14ac:dyDescent="0.2">
      <c r="B64" s="5" t="s">
        <v>14</v>
      </c>
      <c r="C64" s="129">
        <v>75.61</v>
      </c>
      <c r="D64" s="129"/>
      <c r="E64" s="129"/>
      <c r="G64" s="129">
        <v>65.78</v>
      </c>
      <c r="I64" s="129">
        <v>65.78</v>
      </c>
      <c r="J64" s="155"/>
      <c r="L64" s="96"/>
    </row>
    <row r="65" spans="2:11" x14ac:dyDescent="0.2">
      <c r="B65" s="5" t="s">
        <v>15</v>
      </c>
      <c r="C65" s="129">
        <v>59.8</v>
      </c>
      <c r="D65" s="129"/>
      <c r="E65" s="129"/>
      <c r="G65" s="129">
        <v>59.8</v>
      </c>
      <c r="I65" s="129">
        <v>59.8</v>
      </c>
      <c r="J65" s="156"/>
      <c r="K65" s="96"/>
    </row>
    <row r="66" spans="2:11" x14ac:dyDescent="0.2">
      <c r="B66" s="5"/>
      <c r="C66" s="147"/>
      <c r="D66" s="147"/>
      <c r="E66" s="147"/>
      <c r="G66" s="133"/>
      <c r="I66" s="24"/>
    </row>
    <row r="67" spans="2:11" x14ac:dyDescent="0.2">
      <c r="C67" s="109"/>
      <c r="D67" s="109"/>
      <c r="E67" s="109"/>
      <c r="G67" s="16"/>
    </row>
    <row r="68" spans="2:11" x14ac:dyDescent="0.2">
      <c r="C68" s="109"/>
      <c r="D68" s="109"/>
      <c r="E68" s="109"/>
      <c r="G68" s="112"/>
      <c r="I68" s="112"/>
    </row>
    <row r="69" spans="2:11" x14ac:dyDescent="0.2">
      <c r="B69" s="96"/>
      <c r="C69" s="6"/>
      <c r="D69" s="6"/>
      <c r="E69" s="6"/>
      <c r="G69" s="6"/>
      <c r="J69" s="96"/>
    </row>
    <row r="70" spans="2:11" x14ac:dyDescent="0.2">
      <c r="B70" s="107"/>
      <c r="C70" s="6"/>
      <c r="D70" s="6"/>
      <c r="E70" s="6"/>
      <c r="G70" s="6"/>
    </row>
    <row r="71" spans="2:11" x14ac:dyDescent="0.2">
      <c r="B71" s="96"/>
      <c r="C71" s="6"/>
      <c r="D71" s="6"/>
      <c r="E71" s="6"/>
      <c r="G71" s="6"/>
    </row>
    <row r="72" spans="2:11" x14ac:dyDescent="0.2">
      <c r="B72" s="110"/>
      <c r="C72" s="111"/>
      <c r="D72" s="111"/>
      <c r="E72" s="111"/>
      <c r="G72" s="6"/>
    </row>
    <row r="73" spans="2:11" x14ac:dyDescent="0.2">
      <c r="B73" s="16"/>
      <c r="C73" s="111"/>
      <c r="D73" s="111"/>
      <c r="E73" s="111"/>
      <c r="G73" s="6"/>
    </row>
    <row r="74" spans="2:11" x14ac:dyDescent="0.2">
      <c r="B74" s="16"/>
      <c r="C74" s="111"/>
      <c r="D74" s="111"/>
      <c r="E74" s="111"/>
      <c r="G74" s="6"/>
    </row>
    <row r="75" spans="2:11" x14ac:dyDescent="0.2">
      <c r="B75" s="97"/>
      <c r="C75" s="111"/>
      <c r="D75" s="111"/>
      <c r="E75" s="111"/>
      <c r="G75" s="101"/>
      <c r="I75" s="108"/>
    </row>
    <row r="76" spans="2:11" x14ac:dyDescent="0.2">
      <c r="B76" s="16"/>
      <c r="C76" s="6"/>
      <c r="D76" s="6"/>
      <c r="E76" s="6"/>
      <c r="G76" s="101"/>
      <c r="I76" s="108"/>
    </row>
    <row r="77" spans="2:11" x14ac:dyDescent="0.2">
      <c r="B77" s="97"/>
      <c r="C77" s="6"/>
      <c r="D77" s="6"/>
      <c r="E77" s="6"/>
      <c r="G77" s="6"/>
    </row>
    <row r="78" spans="2:11" x14ac:dyDescent="0.2">
      <c r="B78" s="97"/>
      <c r="C78" s="6"/>
      <c r="D78" s="6"/>
      <c r="E78" s="6"/>
      <c r="G78" s="6"/>
    </row>
    <row r="79" spans="2:11" x14ac:dyDescent="0.2">
      <c r="B79" s="97"/>
      <c r="C79" s="6"/>
      <c r="D79" s="6"/>
      <c r="E79" s="6"/>
      <c r="G79" s="6"/>
    </row>
    <row r="80" spans="2:11" x14ac:dyDescent="0.2">
      <c r="C80" s="97"/>
      <c r="D80" s="97"/>
      <c r="E80" s="97"/>
      <c r="G80" s="6"/>
    </row>
    <row r="81" spans="3:9" x14ac:dyDescent="0.2">
      <c r="C81" s="101"/>
      <c r="D81" s="101"/>
      <c r="E81" s="101"/>
      <c r="G81" s="6"/>
    </row>
    <row r="82" spans="3:9" x14ac:dyDescent="0.2">
      <c r="C82" s="101"/>
      <c r="D82" s="101"/>
      <c r="E82" s="101"/>
      <c r="G82" s="6"/>
    </row>
    <row r="83" spans="3:9" x14ac:dyDescent="0.2">
      <c r="C83" s="101"/>
      <c r="D83" s="101"/>
      <c r="E83" s="101"/>
      <c r="G83" s="6"/>
    </row>
    <row r="84" spans="3:9" x14ac:dyDescent="0.2">
      <c r="C84" s="101"/>
      <c r="D84" s="101"/>
      <c r="E84" s="101"/>
      <c r="G84" s="6"/>
    </row>
    <row r="85" spans="3:9" x14ac:dyDescent="0.2">
      <c r="C85" s="101"/>
      <c r="D85" s="101"/>
      <c r="E85" s="101"/>
      <c r="G85" s="6"/>
    </row>
    <row r="86" spans="3:9" x14ac:dyDescent="0.2">
      <c r="C86" s="106"/>
      <c r="D86" s="106"/>
      <c r="E86" s="106"/>
    </row>
    <row r="87" spans="3:9" x14ac:dyDescent="0.2">
      <c r="C87" s="101"/>
      <c r="D87" s="101"/>
      <c r="E87" s="101"/>
      <c r="G87" s="102"/>
    </row>
    <row r="88" spans="3:9" x14ac:dyDescent="0.2">
      <c r="I88" s="103"/>
    </row>
    <row r="90" spans="3:9" x14ac:dyDescent="0.2">
      <c r="G90" s="106"/>
    </row>
  </sheetData>
  <mergeCells count="2">
    <mergeCell ref="A3:K3"/>
    <mergeCell ref="A4:K4"/>
  </mergeCells>
  <phoneticPr fontId="0" type="noConversion"/>
  <pageMargins left="0" right="0" top="0" bottom="0" header="0" footer="0"/>
  <pageSetup scale="8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1"/>
  <sheetViews>
    <sheetView workbookViewId="0">
      <selection activeCell="E22" sqref="E22"/>
    </sheetView>
  </sheetViews>
  <sheetFormatPr defaultColWidth="10" defaultRowHeight="12.75" x14ac:dyDescent="0.2"/>
  <cols>
    <col min="1" max="1" width="10.42578125" style="2" customWidth="1"/>
    <col min="2" max="2" width="29.42578125" style="2" customWidth="1"/>
    <col min="3" max="3" width="16.7109375" style="2" customWidth="1"/>
    <col min="4" max="4" width="2.28515625" style="2" customWidth="1"/>
    <col min="5" max="5" width="16.7109375" style="2" customWidth="1"/>
    <col min="6" max="6" width="2.28515625" style="2" customWidth="1"/>
    <col min="7" max="7" width="16.85546875" style="2" customWidth="1"/>
    <col min="8" max="8" width="2.28515625" style="2" customWidth="1"/>
    <col min="9" max="9" width="15.5703125" style="2" customWidth="1"/>
    <col min="10" max="10" width="2.28515625" style="2" customWidth="1"/>
    <col min="11" max="11" width="10.5703125" style="2" customWidth="1"/>
    <col min="12" max="16384" width="10" style="2"/>
  </cols>
  <sheetData>
    <row r="1" spans="1:11" x14ac:dyDescent="0.2">
      <c r="A1" s="326" t="s">
        <v>277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1" x14ac:dyDescent="0.2">
      <c r="A2" s="163"/>
      <c r="B2" s="163"/>
      <c r="C2" s="163"/>
      <c r="D2" s="163"/>
      <c r="E2" s="163"/>
      <c r="F2" s="163"/>
      <c r="G2" s="163"/>
      <c r="H2" s="163"/>
      <c r="I2" s="163"/>
    </row>
    <row r="3" spans="1:11" x14ac:dyDescent="0.2">
      <c r="C3" s="42" t="str">
        <f>cover!C6</f>
        <v>APPROVED</v>
      </c>
      <c r="D3" s="42"/>
      <c r="E3" s="42" t="str">
        <f>cover!E6</f>
        <v xml:space="preserve"> </v>
      </c>
      <c r="F3" s="42"/>
      <c r="G3" s="42" t="str">
        <f>cover!G6</f>
        <v>APPROVED</v>
      </c>
      <c r="H3" s="42"/>
      <c r="I3" s="42" t="str">
        <f>cover!I6</f>
        <v>REQUESTED</v>
      </c>
      <c r="K3" s="42" t="str">
        <f>cover!K6</f>
        <v>PERCENT</v>
      </c>
    </row>
    <row r="4" spans="1:11" x14ac:dyDescent="0.2">
      <c r="A4"/>
      <c r="B4"/>
      <c r="C4" s="42" t="str">
        <f>cover!C7</f>
        <v>BUDGET</v>
      </c>
      <c r="D4" s="42"/>
      <c r="E4" s="42" t="str">
        <f>cover!E7</f>
        <v>ACTUAL</v>
      </c>
      <c r="F4" s="42"/>
      <c r="G4" s="42" t="str">
        <f>cover!G7</f>
        <v>BUDGET</v>
      </c>
      <c r="H4" s="42"/>
      <c r="I4" s="42" t="str">
        <f>cover!I7</f>
        <v>BUDGET</v>
      </c>
      <c r="K4" s="42" t="str">
        <f>cover!K7</f>
        <v>CHANGE</v>
      </c>
    </row>
    <row r="5" spans="1:11" x14ac:dyDescent="0.2">
      <c r="A5" s="297"/>
      <c r="B5" s="297"/>
      <c r="C5" s="292" t="str">
        <f>cover!C8</f>
        <v>2010-11</v>
      </c>
      <c r="D5" s="292"/>
      <c r="E5" s="292" t="str">
        <f>cover!E8</f>
        <v>2010-11</v>
      </c>
      <c r="F5" s="292"/>
      <c r="G5" s="292" t="str">
        <f>cover!G8</f>
        <v>2011 -12</v>
      </c>
      <c r="H5" s="292"/>
      <c r="I5" s="292" t="str">
        <f>cover!I8</f>
        <v>2012 -13</v>
      </c>
      <c r="J5" s="297"/>
      <c r="K5" s="292" t="str">
        <f>cover!K8</f>
        <v>FY12/FY13</v>
      </c>
    </row>
    <row r="6" spans="1:11" x14ac:dyDescent="0.2">
      <c r="A6" s="2" t="s">
        <v>19</v>
      </c>
      <c r="C6" s="42"/>
      <c r="D6" s="42"/>
      <c r="E6" s="42"/>
      <c r="F6" s="42"/>
      <c r="G6" s="42"/>
      <c r="H6" s="42"/>
      <c r="I6" s="42"/>
    </row>
    <row r="7" spans="1:11" x14ac:dyDescent="0.2">
      <c r="B7" s="2" t="s">
        <v>279</v>
      </c>
      <c r="C7" s="43">
        <v>30580</v>
      </c>
      <c r="D7" s="26"/>
      <c r="E7" s="26">
        <v>34009.050000000003</v>
      </c>
      <c r="F7" s="26"/>
      <c r="G7" s="135">
        <v>32600</v>
      </c>
      <c r="H7" s="43"/>
      <c r="I7" s="135">
        <v>32600</v>
      </c>
      <c r="K7" s="234">
        <f>+(I7-G7)/G7</f>
        <v>0</v>
      </c>
    </row>
    <row r="8" spans="1:11" x14ac:dyDescent="0.2">
      <c r="B8" s="2" t="s">
        <v>280</v>
      </c>
      <c r="C8" s="43">
        <v>24753</v>
      </c>
      <c r="D8" s="26"/>
      <c r="E8" s="26">
        <v>23244.27</v>
      </c>
      <c r="F8" s="26"/>
      <c r="G8" s="135">
        <v>25000</v>
      </c>
      <c r="H8" s="43"/>
      <c r="I8" s="135">
        <v>25000</v>
      </c>
      <c r="K8" s="234">
        <f t="shared" ref="K8:K9" si="0">+(I8-G8)/G8</f>
        <v>0</v>
      </c>
    </row>
    <row r="9" spans="1:11" x14ac:dyDescent="0.2">
      <c r="B9" s="2" t="s">
        <v>278</v>
      </c>
      <c r="C9" s="43">
        <v>24178</v>
      </c>
      <c r="D9" s="26"/>
      <c r="E9" s="26">
        <v>20245.86</v>
      </c>
      <c r="F9" s="26"/>
      <c r="G9" s="135">
        <v>25000</v>
      </c>
      <c r="H9" s="43"/>
      <c r="I9" s="135">
        <v>24000</v>
      </c>
      <c r="K9" s="234">
        <f t="shared" si="0"/>
        <v>-0.04</v>
      </c>
    </row>
    <row r="10" spans="1:11" ht="13.5" customHeight="1" x14ac:dyDescent="0.2">
      <c r="B10" s="2" t="s">
        <v>284</v>
      </c>
      <c r="C10" s="43">
        <v>0</v>
      </c>
      <c r="D10" s="26"/>
      <c r="E10" s="26">
        <v>1287.75</v>
      </c>
      <c r="F10" s="26"/>
      <c r="G10" s="135">
        <v>0</v>
      </c>
      <c r="H10" s="43"/>
      <c r="I10" s="135">
        <v>1000</v>
      </c>
      <c r="K10" s="234">
        <v>1</v>
      </c>
    </row>
    <row r="11" spans="1:11" x14ac:dyDescent="0.2">
      <c r="B11" s="2" t="s">
        <v>283</v>
      </c>
      <c r="C11" s="43">
        <v>1109</v>
      </c>
      <c r="D11" s="26"/>
      <c r="E11" s="26">
        <v>1675.4</v>
      </c>
      <c r="F11" s="26"/>
      <c r="G11" s="135">
        <v>1109</v>
      </c>
      <c r="H11" s="43"/>
      <c r="I11" s="135">
        <f>1109*1.03</f>
        <v>1142.27</v>
      </c>
      <c r="K11" s="234">
        <f t="shared" ref="K11:K12" si="1">+(I11-G11)/G11</f>
        <v>2.9999999999999985E-2</v>
      </c>
    </row>
    <row r="12" spans="1:11" x14ac:dyDescent="0.2">
      <c r="B12" s="2" t="s">
        <v>281</v>
      </c>
      <c r="C12" s="43">
        <v>16087</v>
      </c>
      <c r="D12" s="26"/>
      <c r="E12" s="26">
        <v>13811.1</v>
      </c>
      <c r="F12" s="26"/>
      <c r="G12" s="135">
        <v>16087</v>
      </c>
      <c r="H12" s="43"/>
      <c r="I12" s="135">
        <v>15087</v>
      </c>
      <c r="K12" s="234">
        <f t="shared" si="1"/>
        <v>-6.2161994156772551E-2</v>
      </c>
    </row>
    <row r="13" spans="1:11" ht="15" customHeight="1" x14ac:dyDescent="0.2">
      <c r="B13" s="2" t="s">
        <v>282</v>
      </c>
      <c r="C13" s="43">
        <v>0</v>
      </c>
      <c r="D13" s="26"/>
      <c r="E13" s="26">
        <v>1085</v>
      </c>
      <c r="F13" s="26"/>
      <c r="G13" s="135">
        <v>0</v>
      </c>
      <c r="H13" s="43"/>
      <c r="I13" s="135">
        <v>1000</v>
      </c>
      <c r="K13" s="234">
        <v>0</v>
      </c>
    </row>
    <row r="14" spans="1:11" x14ac:dyDescent="0.2">
      <c r="B14" s="2" t="s">
        <v>264</v>
      </c>
      <c r="C14" s="43">
        <v>0</v>
      </c>
      <c r="D14" s="26"/>
      <c r="E14" s="26">
        <v>-211.94</v>
      </c>
      <c r="F14" s="26"/>
      <c r="G14" s="135">
        <v>0</v>
      </c>
      <c r="H14" s="43"/>
      <c r="I14" s="135">
        <v>0</v>
      </c>
      <c r="K14" s="234">
        <v>0</v>
      </c>
    </row>
    <row r="15" spans="1:11" x14ac:dyDescent="0.2">
      <c r="B15" s="12" t="s">
        <v>20</v>
      </c>
      <c r="C15" s="74">
        <f>SUM(C7:C14)</f>
        <v>96707</v>
      </c>
      <c r="D15" s="26"/>
      <c r="E15" s="161">
        <f>SUM(E7:E14)</f>
        <v>95146.49</v>
      </c>
      <c r="F15" s="26"/>
      <c r="G15" s="74">
        <f>SUM(G7:G14)</f>
        <v>99796</v>
      </c>
      <c r="H15" s="43"/>
      <c r="I15" s="74">
        <f>SUM(I7:I14)</f>
        <v>99829.27</v>
      </c>
      <c r="K15" s="235">
        <f>+(I15-G15)/G15</f>
        <v>3.3338009539464583E-4</v>
      </c>
    </row>
    <row r="16" spans="1:11" x14ac:dyDescent="0.2">
      <c r="B16" s="12"/>
      <c r="C16" s="26"/>
      <c r="D16" s="26"/>
      <c r="E16" s="26"/>
      <c r="F16" s="26"/>
      <c r="G16" s="43"/>
      <c r="H16" s="43"/>
      <c r="I16" s="43"/>
    </row>
    <row r="17" spans="1:11" ht="15" customHeight="1" x14ac:dyDescent="0.2">
      <c r="A17" s="2" t="s">
        <v>37</v>
      </c>
      <c r="C17" s="26"/>
      <c r="D17" s="26"/>
      <c r="E17" s="26"/>
      <c r="F17" s="26"/>
      <c r="G17" s="43"/>
      <c r="H17" s="43"/>
      <c r="I17" s="43"/>
    </row>
    <row r="18" spans="1:11" ht="12.75" customHeight="1" x14ac:dyDescent="0.2">
      <c r="B18" s="2" t="s">
        <v>257</v>
      </c>
      <c r="C18" s="43">
        <v>40000</v>
      </c>
      <c r="D18" s="26"/>
      <c r="E18" s="26">
        <v>39790</v>
      </c>
      <c r="F18" s="26"/>
      <c r="G18" s="135">
        <v>38204</v>
      </c>
      <c r="H18" s="43"/>
      <c r="I18" s="135">
        <v>40716.199999999997</v>
      </c>
      <c r="K18" s="234">
        <f>+(I18-G18)/G18</f>
        <v>6.5757512302376642E-2</v>
      </c>
    </row>
    <row r="19" spans="1:11" ht="12.75" customHeight="1" x14ac:dyDescent="0.2">
      <c r="B19" s="2" t="s">
        <v>285</v>
      </c>
      <c r="C19" s="43">
        <v>21698</v>
      </c>
      <c r="D19" s="26"/>
      <c r="E19" s="26">
        <v>15821.86</v>
      </c>
      <c r="F19" s="26"/>
      <c r="G19" s="135">
        <v>26038</v>
      </c>
      <c r="H19" s="43"/>
      <c r="I19" s="135">
        <v>26038</v>
      </c>
      <c r="K19" s="234">
        <f>+(I19-G19)/G19</f>
        <v>0</v>
      </c>
    </row>
    <row r="20" spans="1:11" x14ac:dyDescent="0.2">
      <c r="B20" s="2" t="s">
        <v>286</v>
      </c>
      <c r="C20" s="43">
        <v>31068</v>
      </c>
      <c r="D20" s="26"/>
      <c r="E20" s="26">
        <v>33950.93</v>
      </c>
      <c r="F20" s="26"/>
      <c r="G20" s="135">
        <v>31441</v>
      </c>
      <c r="H20" s="43"/>
      <c r="I20" s="135">
        <f>+E20+(E20*0.03)</f>
        <v>34969.457900000001</v>
      </c>
      <c r="K20" s="234">
        <f>+(I20-G20)/G20</f>
        <v>0.11222473521834551</v>
      </c>
    </row>
    <row r="21" spans="1:11" x14ac:dyDescent="0.2">
      <c r="B21" s="2" t="s">
        <v>418</v>
      </c>
      <c r="C21" s="43">
        <v>998</v>
      </c>
      <c r="D21" s="26"/>
      <c r="E21" s="26">
        <v>449.99</v>
      </c>
      <c r="F21" s="26"/>
      <c r="G21" s="135">
        <v>798</v>
      </c>
      <c r="H21" s="43"/>
      <c r="I21" s="135">
        <f>+G21+(G21*0.03)</f>
        <v>821.94</v>
      </c>
      <c r="K21" s="234">
        <f>+(I21-G21)/G21</f>
        <v>3.0000000000000068E-2</v>
      </c>
    </row>
    <row r="22" spans="1:11" x14ac:dyDescent="0.2">
      <c r="B22" s="12" t="s">
        <v>23</v>
      </c>
      <c r="C22" s="168">
        <f>SUM(C18:C21)</f>
        <v>93764</v>
      </c>
      <c r="D22" s="15"/>
      <c r="E22" s="54">
        <f>SUM(E18:E21)</f>
        <v>90012.780000000013</v>
      </c>
      <c r="F22" s="15"/>
      <c r="G22" s="74">
        <f>SUM(G18:G21)</f>
        <v>96481</v>
      </c>
      <c r="H22" s="43"/>
      <c r="I22" s="74">
        <f>SUM(I18:I21)</f>
        <v>102545.59789999999</v>
      </c>
      <c r="K22" s="235">
        <f>+(I22-G22)/G22</f>
        <v>6.2857950270001281E-2</v>
      </c>
    </row>
    <row r="23" spans="1:11" x14ac:dyDescent="0.2">
      <c r="B23" s="12"/>
      <c r="C23" s="15"/>
      <c r="D23" s="15"/>
      <c r="E23" s="15"/>
      <c r="F23" s="15"/>
      <c r="G23" s="43"/>
      <c r="H23" s="43"/>
      <c r="I23" s="43"/>
    </row>
    <row r="24" spans="1:11" x14ac:dyDescent="0.2">
      <c r="A24" s="2" t="s">
        <v>24</v>
      </c>
      <c r="C24" s="26"/>
      <c r="D24" s="26"/>
      <c r="E24" s="26"/>
      <c r="F24" s="26"/>
      <c r="G24" s="43"/>
      <c r="H24" s="43"/>
      <c r="I24" s="43"/>
    </row>
    <row r="25" spans="1:11" x14ac:dyDescent="0.2">
      <c r="A25" s="100"/>
      <c r="B25" s="2" t="s">
        <v>175</v>
      </c>
      <c r="C25" s="75">
        <f>26020+1736+960</f>
        <v>28716</v>
      </c>
      <c r="D25" s="26"/>
      <c r="E25" s="25">
        <v>25192.66</v>
      </c>
      <c r="F25" s="26"/>
      <c r="G25" s="75">
        <v>29275</v>
      </c>
      <c r="H25" s="43"/>
      <c r="I25" s="75">
        <f>14766+11644.83+(I20*0.03)+(I21*0.03)+(I19*0.03)</f>
        <v>28265.711937000004</v>
      </c>
      <c r="K25" s="234">
        <f>+(I25-G25)/G25</f>
        <v>-3.4476108044406366E-2</v>
      </c>
    </row>
    <row r="26" spans="1:11" x14ac:dyDescent="0.2">
      <c r="B26" s="12" t="s">
        <v>38</v>
      </c>
      <c r="C26" s="74">
        <f>SUM(C25)</f>
        <v>28716</v>
      </c>
      <c r="D26" s="26"/>
      <c r="E26" s="41">
        <f>SUM(E25)</f>
        <v>25192.66</v>
      </c>
      <c r="F26" s="26"/>
      <c r="G26" s="74">
        <f>SUM(G25)</f>
        <v>29275</v>
      </c>
      <c r="H26" s="43"/>
      <c r="I26" s="74">
        <f>SUM(I25)</f>
        <v>28265.711937000004</v>
      </c>
      <c r="K26" s="235">
        <f>+(I26-G26)/G26</f>
        <v>-3.4476108044406366E-2</v>
      </c>
    </row>
    <row r="27" spans="1:11" x14ac:dyDescent="0.2">
      <c r="C27" s="26"/>
      <c r="D27" s="26"/>
      <c r="E27" s="26"/>
      <c r="F27" s="26"/>
      <c r="G27" s="43"/>
      <c r="H27" s="43"/>
      <c r="I27" s="43"/>
    </row>
    <row r="28" spans="1:11" x14ac:dyDescent="0.2">
      <c r="A28" s="2" t="s">
        <v>27</v>
      </c>
      <c r="C28" s="26"/>
      <c r="D28" s="26"/>
      <c r="E28" s="26"/>
      <c r="F28" s="26"/>
      <c r="G28" s="43"/>
      <c r="H28" s="43"/>
      <c r="I28" s="43"/>
    </row>
    <row r="29" spans="1:11" x14ac:dyDescent="0.2">
      <c r="A29" s="100"/>
      <c r="B29" s="13" t="s">
        <v>287</v>
      </c>
      <c r="C29" s="43">
        <v>2627</v>
      </c>
      <c r="D29" s="26"/>
      <c r="E29" s="26">
        <v>2865.01</v>
      </c>
      <c r="F29" s="26"/>
      <c r="G29" s="135">
        <f>2627-100</f>
        <v>2527</v>
      </c>
      <c r="H29" s="43"/>
      <c r="I29" s="135">
        <v>2865</v>
      </c>
      <c r="K29" s="234">
        <f t="shared" ref="K29:K37" si="2">+(I29-G29)/G29</f>
        <v>0.13375544123466562</v>
      </c>
    </row>
    <row r="30" spans="1:11" x14ac:dyDescent="0.2">
      <c r="B30" s="13" t="s">
        <v>288</v>
      </c>
      <c r="C30" s="43">
        <v>20765</v>
      </c>
      <c r="D30" s="26"/>
      <c r="E30" s="26">
        <v>27429.56</v>
      </c>
      <c r="F30" s="26"/>
      <c r="G30" s="135">
        <v>20765</v>
      </c>
      <c r="H30" s="43"/>
      <c r="I30" s="135">
        <v>22000</v>
      </c>
      <c r="K30" s="234">
        <f t="shared" si="2"/>
        <v>5.9475078256681919E-2</v>
      </c>
    </row>
    <row r="31" spans="1:11" x14ac:dyDescent="0.2">
      <c r="B31" s="13" t="s">
        <v>178</v>
      </c>
      <c r="C31" s="43">
        <v>1122</v>
      </c>
      <c r="D31" s="26"/>
      <c r="E31" s="26">
        <v>11148.4</v>
      </c>
      <c r="F31" s="26"/>
      <c r="G31" s="135">
        <v>1144</v>
      </c>
      <c r="H31" s="43"/>
      <c r="I31" s="135">
        <v>1167</v>
      </c>
      <c r="K31" s="234">
        <f t="shared" si="2"/>
        <v>2.0104895104895104E-2</v>
      </c>
    </row>
    <row r="32" spans="1:11" x14ac:dyDescent="0.2">
      <c r="B32" s="2" t="s">
        <v>230</v>
      </c>
      <c r="C32" s="43">
        <v>2346</v>
      </c>
      <c r="D32" s="26"/>
      <c r="E32" s="26">
        <v>1167.3699999999999</v>
      </c>
      <c r="F32" s="26"/>
      <c r="G32" s="135">
        <v>2346</v>
      </c>
      <c r="H32" s="43"/>
      <c r="I32" s="135">
        <v>1168</v>
      </c>
      <c r="K32" s="234">
        <f t="shared" si="2"/>
        <v>-0.50213128729752776</v>
      </c>
    </row>
    <row r="33" spans="1:11" x14ac:dyDescent="0.2">
      <c r="B33" s="2" t="s">
        <v>180</v>
      </c>
      <c r="C33" s="43">
        <v>1428</v>
      </c>
      <c r="D33" s="26"/>
      <c r="E33" s="26">
        <v>1205.73</v>
      </c>
      <c r="F33" s="26"/>
      <c r="G33" s="135">
        <f>1428-100</f>
        <v>1328</v>
      </c>
      <c r="H33" s="43"/>
      <c r="I33" s="135">
        <v>1328</v>
      </c>
      <c r="K33" s="234">
        <f t="shared" si="2"/>
        <v>0</v>
      </c>
    </row>
    <row r="34" spans="1:11" x14ac:dyDescent="0.2">
      <c r="B34" s="2" t="s">
        <v>289</v>
      </c>
      <c r="C34" s="43">
        <v>1618</v>
      </c>
      <c r="D34" s="26"/>
      <c r="E34" s="26">
        <v>1179.82</v>
      </c>
      <c r="F34" s="26"/>
      <c r="G34" s="135">
        <v>1618</v>
      </c>
      <c r="H34" s="43"/>
      <c r="I34" s="135">
        <v>1301</v>
      </c>
      <c r="K34" s="234">
        <f t="shared" si="2"/>
        <v>-0.19592088998763907</v>
      </c>
    </row>
    <row r="35" spans="1:11" x14ac:dyDescent="0.2">
      <c r="B35" s="13" t="s">
        <v>290</v>
      </c>
      <c r="C35" s="43">
        <v>4182</v>
      </c>
      <c r="D35" s="26"/>
      <c r="E35" s="26">
        <v>966.74</v>
      </c>
      <c r="F35" s="26"/>
      <c r="G35" s="135">
        <v>4182</v>
      </c>
      <c r="H35" s="43"/>
      <c r="I35" s="135">
        <v>4182</v>
      </c>
      <c r="K35" s="234">
        <f t="shared" si="2"/>
        <v>0</v>
      </c>
    </row>
    <row r="36" spans="1:11" x14ac:dyDescent="0.2">
      <c r="B36" s="13" t="s">
        <v>291</v>
      </c>
      <c r="C36" s="43">
        <v>4158</v>
      </c>
      <c r="D36" s="26"/>
      <c r="E36" s="26">
        <v>3467.54</v>
      </c>
      <c r="F36" s="26"/>
      <c r="G36" s="135">
        <v>4241</v>
      </c>
      <c r="H36" s="43"/>
      <c r="I36" s="135">
        <v>4241</v>
      </c>
      <c r="K36" s="234">
        <f t="shared" si="2"/>
        <v>0</v>
      </c>
    </row>
    <row r="37" spans="1:11" x14ac:dyDescent="0.2">
      <c r="B37" s="13" t="s">
        <v>183</v>
      </c>
      <c r="C37" s="43">
        <v>1996</v>
      </c>
      <c r="D37" s="26"/>
      <c r="E37" s="26">
        <v>1019.35</v>
      </c>
      <c r="F37" s="26"/>
      <c r="G37" s="135">
        <v>1996</v>
      </c>
      <c r="H37" s="43"/>
      <c r="I37" s="135">
        <v>1996</v>
      </c>
      <c r="K37" s="234">
        <f t="shared" si="2"/>
        <v>0</v>
      </c>
    </row>
    <row r="38" spans="1:11" x14ac:dyDescent="0.2">
      <c r="B38" s="13" t="s">
        <v>292</v>
      </c>
      <c r="C38" s="43">
        <v>0</v>
      </c>
      <c r="D38" s="26"/>
      <c r="E38" s="26">
        <v>1087.23</v>
      </c>
      <c r="F38" s="26"/>
      <c r="G38" s="135">
        <v>0</v>
      </c>
      <c r="H38" s="43"/>
      <c r="I38" s="135">
        <v>1000</v>
      </c>
      <c r="K38" s="234">
        <v>1</v>
      </c>
    </row>
    <row r="39" spans="1:11" ht="12" customHeight="1" x14ac:dyDescent="0.2">
      <c r="B39" s="2" t="s">
        <v>110</v>
      </c>
      <c r="C39" s="43">
        <v>1063</v>
      </c>
      <c r="D39" s="26"/>
      <c r="E39" s="26">
        <v>846.47</v>
      </c>
      <c r="F39" s="26"/>
      <c r="G39" s="135">
        <v>1063</v>
      </c>
      <c r="H39" s="43"/>
      <c r="I39" s="135">
        <v>900</v>
      </c>
      <c r="K39" s="234">
        <f>+(I39-G39)/G39</f>
        <v>-0.15333960489181561</v>
      </c>
    </row>
    <row r="40" spans="1:11" x14ac:dyDescent="0.2">
      <c r="B40" s="12" t="s">
        <v>76</v>
      </c>
      <c r="C40" s="168">
        <f>SUM(C29:C39)</f>
        <v>41305</v>
      </c>
      <c r="D40" s="15"/>
      <c r="E40" s="54">
        <f>SUM(E29:E39)</f>
        <v>52383.220000000008</v>
      </c>
      <c r="F40" s="15"/>
      <c r="G40" s="74">
        <f>SUM(G29:G39)</f>
        <v>41210</v>
      </c>
      <c r="H40" s="43"/>
      <c r="I40" s="74">
        <f>SUM(I29:I39)</f>
        <v>42148</v>
      </c>
      <c r="K40" s="235">
        <f>+(I40-G40)/G40</f>
        <v>2.2761465663673864E-2</v>
      </c>
    </row>
    <row r="41" spans="1:11" x14ac:dyDescent="0.2">
      <c r="C41" s="26"/>
      <c r="D41" s="26"/>
      <c r="E41" s="26"/>
      <c r="F41" s="26"/>
      <c r="G41" s="43"/>
      <c r="H41" s="43"/>
      <c r="I41" s="43"/>
      <c r="K41" s="234"/>
    </row>
    <row r="42" spans="1:11" x14ac:dyDescent="0.2">
      <c r="B42" s="2" t="s">
        <v>33</v>
      </c>
      <c r="C42" s="169">
        <f>SUM(C40+C25+C22)</f>
        <v>163785</v>
      </c>
      <c r="D42" s="15"/>
      <c r="E42" s="14">
        <f>SUM(E40+E25+E22)</f>
        <v>167588.66000000003</v>
      </c>
      <c r="F42" s="15"/>
      <c r="G42" s="75">
        <f>SUM(G22+G25+G40)</f>
        <v>166966</v>
      </c>
      <c r="H42" s="43"/>
      <c r="I42" s="75">
        <f>SUM(I22+I25+I40)</f>
        <v>172959.30983699998</v>
      </c>
      <c r="K42" s="241">
        <f t="shared" ref="K42" si="3">+(I42-G42)/G42</f>
        <v>3.5895390899943577E-2</v>
      </c>
    </row>
    <row r="43" spans="1:11" x14ac:dyDescent="0.2">
      <c r="C43" s="26"/>
      <c r="D43" s="26"/>
      <c r="E43" s="26"/>
      <c r="F43" s="26"/>
      <c r="G43" s="43"/>
      <c r="H43" s="43"/>
      <c r="I43" s="43"/>
      <c r="K43" s="234"/>
    </row>
    <row r="44" spans="1:11" ht="13.5" thickBot="1" x14ac:dyDescent="0.25">
      <c r="B44" s="2" t="s">
        <v>52</v>
      </c>
      <c r="C44" s="224">
        <f>SUM(C15-C22-C25-C40)</f>
        <v>-67078</v>
      </c>
      <c r="D44" s="26"/>
      <c r="E44" s="225">
        <f>SUM(E15-E22-E25-E40)</f>
        <v>-72442.170000000013</v>
      </c>
      <c r="F44" s="26"/>
      <c r="G44" s="224">
        <f>SUM(G15-G22-G25-G40)</f>
        <v>-67170</v>
      </c>
      <c r="H44" s="43"/>
      <c r="I44" s="224">
        <f>SUM(I15-I22-I25-I40)</f>
        <v>-73130.039836999989</v>
      </c>
      <c r="K44" s="242">
        <f t="shared" ref="K44" si="4">+(I44-G44)/G44</f>
        <v>8.87306809140984E-2</v>
      </c>
    </row>
    <row r="45" spans="1:11" ht="13.5" thickTop="1" x14ac:dyDescent="0.2">
      <c r="C45" s="26"/>
      <c r="D45" s="26"/>
      <c r="E45" s="26"/>
      <c r="F45" s="26"/>
      <c r="G45" s="77"/>
      <c r="H45" s="77"/>
      <c r="I45" s="77"/>
      <c r="K45" s="234"/>
    </row>
    <row r="46" spans="1:11" x14ac:dyDescent="0.2">
      <c r="A46"/>
      <c r="B46" s="12"/>
      <c r="C46" s="26"/>
      <c r="D46" s="26"/>
      <c r="E46" s="26"/>
      <c r="F46" s="26"/>
      <c r="G46" s="78"/>
      <c r="H46" s="78"/>
      <c r="I46" s="78"/>
    </row>
    <row r="47" spans="1:11" x14ac:dyDescent="0.2">
      <c r="B47" s="12"/>
      <c r="C47" s="40"/>
      <c r="D47" s="40"/>
      <c r="E47" s="40"/>
      <c r="F47" s="40"/>
      <c r="G47" s="43"/>
      <c r="H47" s="43"/>
      <c r="I47" s="43"/>
    </row>
    <row r="48" spans="1:11" x14ac:dyDescent="0.2">
      <c r="C48" s="26"/>
      <c r="D48" s="26"/>
      <c r="E48" s="26"/>
      <c r="F48" s="26"/>
      <c r="G48" s="43"/>
      <c r="H48" s="43"/>
      <c r="I48" s="43"/>
    </row>
    <row r="49" spans="1:9" x14ac:dyDescent="0.2">
      <c r="A49"/>
      <c r="B49"/>
      <c r="C49"/>
      <c r="D49"/>
      <c r="E49"/>
      <c r="F49"/>
      <c r="G49" s="79"/>
      <c r="H49" s="79"/>
      <c r="I49" s="43"/>
    </row>
    <row r="50" spans="1:9" x14ac:dyDescent="0.2">
      <c r="A50"/>
      <c r="B50"/>
      <c r="C50"/>
      <c r="D50"/>
      <c r="E50"/>
      <c r="F50"/>
      <c r="G50"/>
      <c r="H50"/>
      <c r="I50" s="26"/>
    </row>
    <row r="51" spans="1:9" x14ac:dyDescent="0.2">
      <c r="A51"/>
      <c r="B51"/>
      <c r="C51"/>
      <c r="D51"/>
      <c r="E51"/>
      <c r="F51"/>
      <c r="G51"/>
      <c r="H51"/>
      <c r="I51" s="26"/>
    </row>
    <row r="52" spans="1:9" x14ac:dyDescent="0.2">
      <c r="A52"/>
      <c r="B52"/>
      <c r="C52"/>
      <c r="D52"/>
      <c r="E52"/>
      <c r="F52"/>
      <c r="G52"/>
      <c r="H52"/>
      <c r="I52"/>
    </row>
    <row r="53" spans="1:9" x14ac:dyDescent="0.2">
      <c r="A53"/>
      <c r="B53"/>
      <c r="C53"/>
      <c r="D53"/>
      <c r="E53"/>
      <c r="F53"/>
      <c r="G53"/>
      <c r="H53"/>
      <c r="I53"/>
    </row>
    <row r="54" spans="1:9" x14ac:dyDescent="0.2">
      <c r="A54"/>
      <c r="B54"/>
      <c r="C54"/>
      <c r="D54"/>
      <c r="E54"/>
      <c r="F54"/>
      <c r="G54"/>
      <c r="H54"/>
      <c r="I54"/>
    </row>
    <row r="55" spans="1:9" x14ac:dyDescent="0.2">
      <c r="A55"/>
      <c r="B55"/>
      <c r="C55"/>
      <c r="D55"/>
      <c r="E55"/>
      <c r="F55"/>
      <c r="G55"/>
      <c r="H55"/>
      <c r="I55"/>
    </row>
    <row r="56" spans="1:9" x14ac:dyDescent="0.2">
      <c r="A56"/>
      <c r="B56"/>
      <c r="C56"/>
      <c r="D56"/>
      <c r="E56"/>
      <c r="F56"/>
      <c r="G56"/>
      <c r="H56"/>
      <c r="I56"/>
    </row>
    <row r="57" spans="1:9" x14ac:dyDescent="0.2">
      <c r="A57"/>
      <c r="B57"/>
      <c r="C57"/>
      <c r="D57"/>
      <c r="E57"/>
      <c r="F57"/>
      <c r="G57"/>
      <c r="H57"/>
      <c r="I57"/>
    </row>
    <row r="58" spans="1:9" x14ac:dyDescent="0.2">
      <c r="A58"/>
      <c r="B58"/>
      <c r="C58"/>
      <c r="D58"/>
      <c r="E58"/>
      <c r="F58"/>
      <c r="G58"/>
      <c r="H58"/>
      <c r="I58"/>
    </row>
    <row r="59" spans="1:9" x14ac:dyDescent="0.2">
      <c r="A59"/>
      <c r="B59"/>
      <c r="C59"/>
      <c r="D59"/>
      <c r="E59"/>
      <c r="F59"/>
      <c r="G59"/>
      <c r="H59"/>
      <c r="I59"/>
    </row>
    <row r="60" spans="1:9" x14ac:dyDescent="0.2">
      <c r="A60"/>
      <c r="B60"/>
      <c r="C60"/>
      <c r="D60"/>
      <c r="E60"/>
      <c r="F60"/>
      <c r="G60"/>
      <c r="H60"/>
      <c r="I60"/>
    </row>
    <row r="61" spans="1:9" x14ac:dyDescent="0.2">
      <c r="A61"/>
      <c r="B61"/>
      <c r="C61"/>
      <c r="D61"/>
      <c r="E61"/>
      <c r="F61"/>
      <c r="G61"/>
      <c r="H61"/>
      <c r="I61"/>
    </row>
    <row r="62" spans="1:9" x14ac:dyDescent="0.2">
      <c r="A62"/>
      <c r="B62"/>
      <c r="C62"/>
      <c r="D62"/>
      <c r="E62"/>
      <c r="F62"/>
      <c r="G62"/>
      <c r="H62"/>
      <c r="I62"/>
    </row>
    <row r="63" spans="1:9" x14ac:dyDescent="0.2">
      <c r="A63"/>
      <c r="B63"/>
      <c r="C63"/>
      <c r="D63"/>
      <c r="E63"/>
      <c r="F63"/>
      <c r="G63"/>
      <c r="H63"/>
      <c r="I63"/>
    </row>
    <row r="64" spans="1:9" x14ac:dyDescent="0.2">
      <c r="A64"/>
      <c r="B64"/>
      <c r="C64"/>
      <c r="D64"/>
      <c r="E64"/>
      <c r="F64"/>
      <c r="G64"/>
      <c r="H64"/>
      <c r="I64"/>
    </row>
    <row r="65" spans="1:9" x14ac:dyDescent="0.2">
      <c r="A65"/>
      <c r="B65"/>
      <c r="C65"/>
      <c r="D65"/>
      <c r="E65"/>
      <c r="F65"/>
      <c r="G65"/>
      <c r="H65"/>
      <c r="I65"/>
    </row>
    <row r="66" spans="1:9" x14ac:dyDescent="0.2">
      <c r="A66"/>
      <c r="B66"/>
      <c r="C66"/>
      <c r="D66"/>
      <c r="E66"/>
      <c r="F66"/>
      <c r="G66"/>
      <c r="H66"/>
      <c r="I66"/>
    </row>
    <row r="67" spans="1:9" x14ac:dyDescent="0.2">
      <c r="A67"/>
      <c r="B67"/>
      <c r="C67"/>
      <c r="D67"/>
      <c r="E67"/>
      <c r="F67"/>
      <c r="G67"/>
      <c r="H67"/>
      <c r="I67"/>
    </row>
    <row r="68" spans="1:9" x14ac:dyDescent="0.2">
      <c r="A68"/>
      <c r="B68"/>
      <c r="C68"/>
      <c r="D68"/>
      <c r="E68"/>
      <c r="F68"/>
      <c r="G68"/>
      <c r="H68"/>
      <c r="I68"/>
    </row>
    <row r="69" spans="1:9" x14ac:dyDescent="0.2">
      <c r="A69"/>
      <c r="B69"/>
      <c r="C69"/>
      <c r="D69"/>
      <c r="E69"/>
      <c r="F69"/>
      <c r="G69"/>
      <c r="H69"/>
      <c r="I69"/>
    </row>
    <row r="70" spans="1:9" x14ac:dyDescent="0.2">
      <c r="A70"/>
      <c r="B70"/>
      <c r="C70"/>
      <c r="D70"/>
      <c r="E70"/>
      <c r="F70"/>
      <c r="G70"/>
      <c r="H70"/>
      <c r="I70"/>
    </row>
    <row r="71" spans="1:9" x14ac:dyDescent="0.2">
      <c r="A71"/>
      <c r="B71"/>
      <c r="C71"/>
      <c r="D71"/>
      <c r="E71"/>
      <c r="F71"/>
      <c r="G71"/>
      <c r="H71"/>
      <c r="I71"/>
    </row>
    <row r="72" spans="1:9" x14ac:dyDescent="0.2">
      <c r="A72"/>
      <c r="B72"/>
      <c r="C72"/>
      <c r="D72"/>
      <c r="E72"/>
      <c r="F72"/>
      <c r="G72"/>
      <c r="H72"/>
      <c r="I72"/>
    </row>
    <row r="73" spans="1:9" x14ac:dyDescent="0.2">
      <c r="A73"/>
      <c r="B73"/>
      <c r="C73"/>
      <c r="D73"/>
      <c r="E73"/>
      <c r="F73"/>
      <c r="G73"/>
      <c r="H73"/>
      <c r="I73"/>
    </row>
    <row r="74" spans="1:9" x14ac:dyDescent="0.2">
      <c r="A74"/>
      <c r="B74"/>
      <c r="C74"/>
      <c r="D74"/>
      <c r="E74"/>
      <c r="F74"/>
      <c r="G74"/>
      <c r="H74"/>
      <c r="I74"/>
    </row>
    <row r="75" spans="1:9" x14ac:dyDescent="0.2">
      <c r="A75"/>
      <c r="B75"/>
      <c r="C75"/>
      <c r="D75"/>
      <c r="E75"/>
      <c r="F75"/>
      <c r="G75"/>
      <c r="H75"/>
      <c r="I75"/>
    </row>
    <row r="76" spans="1:9" x14ac:dyDescent="0.2">
      <c r="A76"/>
      <c r="B76"/>
      <c r="C76"/>
      <c r="D76"/>
      <c r="E76"/>
      <c r="F76"/>
      <c r="G76"/>
      <c r="H76"/>
      <c r="I76"/>
    </row>
    <row r="77" spans="1:9" x14ac:dyDescent="0.2">
      <c r="A77"/>
      <c r="B77"/>
      <c r="C77"/>
      <c r="D77"/>
      <c r="E77"/>
      <c r="F77"/>
      <c r="G77"/>
      <c r="H77"/>
      <c r="I77"/>
    </row>
    <row r="78" spans="1:9" x14ac:dyDescent="0.2">
      <c r="A78"/>
      <c r="B78"/>
      <c r="C78"/>
      <c r="D78"/>
      <c r="E78"/>
      <c r="F78"/>
      <c r="G78"/>
      <c r="H78"/>
      <c r="I78"/>
    </row>
    <row r="79" spans="1:9" x14ac:dyDescent="0.2">
      <c r="A79"/>
      <c r="B79"/>
      <c r="C79"/>
      <c r="D79"/>
      <c r="E79"/>
      <c r="F79"/>
      <c r="G79"/>
      <c r="H79"/>
      <c r="I79"/>
    </row>
    <row r="80" spans="1:9" x14ac:dyDescent="0.2">
      <c r="A80"/>
      <c r="B80"/>
      <c r="C80"/>
      <c r="D80"/>
      <c r="E80"/>
      <c r="F80"/>
      <c r="G80"/>
      <c r="H80"/>
      <c r="I80"/>
    </row>
    <row r="81" spans="1:9" x14ac:dyDescent="0.2">
      <c r="A81"/>
      <c r="B81"/>
      <c r="C81"/>
      <c r="D81"/>
      <c r="E81"/>
      <c r="F81"/>
      <c r="G81"/>
      <c r="H81"/>
      <c r="I81"/>
    </row>
    <row r="82" spans="1:9" x14ac:dyDescent="0.2">
      <c r="A82"/>
      <c r="B82"/>
      <c r="C82"/>
      <c r="D82"/>
      <c r="E82"/>
      <c r="F82"/>
      <c r="G82"/>
      <c r="H82"/>
      <c r="I82"/>
    </row>
    <row r="83" spans="1:9" x14ac:dyDescent="0.2">
      <c r="A83"/>
      <c r="B83"/>
      <c r="C83"/>
      <c r="D83"/>
      <c r="E83"/>
      <c r="F83"/>
      <c r="G83"/>
      <c r="H83"/>
      <c r="I83"/>
    </row>
    <row r="84" spans="1:9" x14ac:dyDescent="0.2">
      <c r="A84"/>
      <c r="B84"/>
      <c r="C84"/>
      <c r="D84"/>
      <c r="E84"/>
      <c r="F84"/>
      <c r="G84"/>
      <c r="H84"/>
      <c r="I84"/>
    </row>
    <row r="85" spans="1:9" x14ac:dyDescent="0.2">
      <c r="A85"/>
      <c r="B85"/>
      <c r="C85"/>
      <c r="D85"/>
      <c r="E85"/>
      <c r="F85"/>
      <c r="G85"/>
      <c r="H85"/>
      <c r="I85"/>
    </row>
    <row r="86" spans="1:9" x14ac:dyDescent="0.2">
      <c r="A86"/>
      <c r="B86"/>
      <c r="C86"/>
      <c r="D86"/>
      <c r="E86"/>
      <c r="F86"/>
      <c r="G86"/>
      <c r="H86"/>
      <c r="I86"/>
    </row>
    <row r="87" spans="1:9" x14ac:dyDescent="0.2">
      <c r="A87"/>
      <c r="B87"/>
      <c r="C87"/>
      <c r="D87"/>
      <c r="E87"/>
      <c r="F87"/>
      <c r="G87"/>
      <c r="H87"/>
      <c r="I87"/>
    </row>
    <row r="88" spans="1:9" x14ac:dyDescent="0.2">
      <c r="A88"/>
      <c r="B88"/>
      <c r="C88"/>
      <c r="D88"/>
      <c r="E88"/>
      <c r="F88"/>
      <c r="G88"/>
      <c r="H88"/>
      <c r="I88"/>
    </row>
    <row r="89" spans="1:9" x14ac:dyDescent="0.2">
      <c r="A89"/>
      <c r="B89"/>
      <c r="C89"/>
      <c r="D89"/>
      <c r="E89"/>
      <c r="F89"/>
      <c r="G89"/>
      <c r="H89"/>
      <c r="I89"/>
    </row>
    <row r="90" spans="1:9" x14ac:dyDescent="0.2">
      <c r="A90"/>
      <c r="B90"/>
      <c r="C90"/>
      <c r="D90"/>
      <c r="E90"/>
      <c r="F90"/>
      <c r="G90"/>
      <c r="H90"/>
      <c r="I90"/>
    </row>
    <row r="91" spans="1:9" x14ac:dyDescent="0.2">
      <c r="A91"/>
      <c r="B91"/>
      <c r="C91"/>
      <c r="D91"/>
      <c r="E91"/>
      <c r="F91"/>
      <c r="G91"/>
      <c r="H91"/>
      <c r="I91"/>
    </row>
    <row r="92" spans="1:9" x14ac:dyDescent="0.2">
      <c r="A92"/>
      <c r="B92"/>
      <c r="C92"/>
      <c r="D92"/>
      <c r="E92"/>
      <c r="F92"/>
      <c r="G92"/>
      <c r="H92"/>
      <c r="I92"/>
    </row>
    <row r="93" spans="1:9" x14ac:dyDescent="0.2">
      <c r="A93"/>
      <c r="B93"/>
      <c r="C93"/>
      <c r="D93"/>
      <c r="E93"/>
      <c r="F93"/>
      <c r="G93"/>
      <c r="H93"/>
      <c r="I93"/>
    </row>
    <row r="94" spans="1:9" x14ac:dyDescent="0.2">
      <c r="A94"/>
      <c r="B94"/>
      <c r="C94"/>
      <c r="D94"/>
      <c r="E94"/>
      <c r="F94"/>
      <c r="G94"/>
      <c r="H94"/>
      <c r="I94"/>
    </row>
    <row r="95" spans="1:9" x14ac:dyDescent="0.2">
      <c r="A95"/>
      <c r="B95"/>
      <c r="C95"/>
      <c r="D95"/>
      <c r="E95"/>
      <c r="F95"/>
      <c r="G95"/>
      <c r="H95"/>
      <c r="I95"/>
    </row>
    <row r="96" spans="1:9" x14ac:dyDescent="0.2">
      <c r="A96"/>
      <c r="B96"/>
      <c r="C96"/>
      <c r="D96"/>
      <c r="E96"/>
      <c r="F96"/>
      <c r="G96"/>
      <c r="H96"/>
      <c r="I96"/>
    </row>
    <row r="97" spans="1:9" x14ac:dyDescent="0.2">
      <c r="A97"/>
      <c r="B97"/>
      <c r="C97"/>
      <c r="D97"/>
      <c r="E97"/>
      <c r="F97"/>
      <c r="G97"/>
      <c r="H97"/>
      <c r="I97"/>
    </row>
    <row r="98" spans="1:9" x14ac:dyDescent="0.2">
      <c r="A98"/>
      <c r="B98"/>
      <c r="C98"/>
      <c r="D98"/>
      <c r="E98"/>
      <c r="F98"/>
      <c r="G98"/>
      <c r="H98"/>
      <c r="I98"/>
    </row>
    <row r="99" spans="1:9" x14ac:dyDescent="0.2">
      <c r="A99"/>
      <c r="B99"/>
      <c r="C99"/>
      <c r="D99"/>
      <c r="E99"/>
      <c r="F99"/>
      <c r="G99"/>
      <c r="H99"/>
      <c r="I99"/>
    </row>
    <row r="100" spans="1:9" x14ac:dyDescent="0.2">
      <c r="A100"/>
      <c r="B100"/>
      <c r="C100"/>
      <c r="D100"/>
      <c r="E100"/>
      <c r="F100"/>
      <c r="G100"/>
      <c r="H100"/>
      <c r="I100"/>
    </row>
    <row r="101" spans="1:9" x14ac:dyDescent="0.2">
      <c r="A101"/>
      <c r="B101"/>
      <c r="C101"/>
      <c r="D101"/>
      <c r="E101"/>
      <c r="F101"/>
      <c r="G101"/>
      <c r="H101"/>
      <c r="I101"/>
    </row>
    <row r="102" spans="1:9" x14ac:dyDescent="0.2">
      <c r="A102"/>
      <c r="B102"/>
      <c r="C102"/>
      <c r="D102"/>
      <c r="E102"/>
      <c r="F102"/>
      <c r="G102"/>
      <c r="H102"/>
      <c r="I102"/>
    </row>
    <row r="103" spans="1:9" x14ac:dyDescent="0.2">
      <c r="A103"/>
      <c r="B103"/>
      <c r="C103"/>
      <c r="D103"/>
      <c r="E103"/>
      <c r="F103"/>
      <c r="G103"/>
      <c r="H103"/>
      <c r="I103"/>
    </row>
    <row r="104" spans="1:9" x14ac:dyDescent="0.2">
      <c r="A104"/>
      <c r="B104"/>
      <c r="C104"/>
      <c r="D104"/>
      <c r="E104"/>
      <c r="F104"/>
      <c r="G104"/>
      <c r="H104"/>
      <c r="I104"/>
    </row>
    <row r="105" spans="1:9" x14ac:dyDescent="0.2">
      <c r="A105"/>
      <c r="B105"/>
      <c r="C105"/>
      <c r="D105"/>
      <c r="E105"/>
      <c r="F105"/>
      <c r="G105"/>
      <c r="H105"/>
      <c r="I105"/>
    </row>
    <row r="106" spans="1:9" x14ac:dyDescent="0.2">
      <c r="A106"/>
      <c r="B106"/>
      <c r="C106"/>
      <c r="D106"/>
      <c r="E106"/>
      <c r="F106"/>
      <c r="G106"/>
      <c r="H106"/>
      <c r="I106"/>
    </row>
    <row r="107" spans="1:9" x14ac:dyDescent="0.2">
      <c r="A107"/>
      <c r="B107"/>
      <c r="C107"/>
      <c r="D107"/>
      <c r="E107"/>
      <c r="F107"/>
      <c r="G107"/>
      <c r="H107"/>
      <c r="I107"/>
    </row>
    <row r="108" spans="1:9" x14ac:dyDescent="0.2">
      <c r="A108"/>
      <c r="B108"/>
      <c r="C108"/>
      <c r="D108"/>
      <c r="E108"/>
      <c r="F108"/>
      <c r="G108"/>
      <c r="H108"/>
      <c r="I108"/>
    </row>
    <row r="109" spans="1:9" x14ac:dyDescent="0.2">
      <c r="A109"/>
      <c r="B109"/>
      <c r="C109"/>
      <c r="D109"/>
      <c r="E109"/>
      <c r="F109"/>
      <c r="G109"/>
      <c r="H109"/>
      <c r="I109"/>
    </row>
    <row r="110" spans="1:9" x14ac:dyDescent="0.2">
      <c r="A110"/>
      <c r="B110"/>
      <c r="C110"/>
      <c r="D110"/>
      <c r="E110"/>
      <c r="F110"/>
      <c r="G110"/>
      <c r="H110"/>
      <c r="I110"/>
    </row>
    <row r="111" spans="1:9" x14ac:dyDescent="0.2">
      <c r="A111"/>
      <c r="B111"/>
      <c r="C111"/>
      <c r="D111"/>
      <c r="E111"/>
      <c r="F111"/>
      <c r="G111"/>
      <c r="H111"/>
      <c r="I111"/>
    </row>
    <row r="112" spans="1:9" x14ac:dyDescent="0.2">
      <c r="A112"/>
      <c r="B112"/>
      <c r="C112"/>
      <c r="D112"/>
      <c r="E112"/>
      <c r="F112"/>
      <c r="G112"/>
      <c r="H112"/>
      <c r="I112"/>
    </row>
    <row r="113" spans="1:9" x14ac:dyDescent="0.2">
      <c r="A113"/>
      <c r="B113"/>
      <c r="C113"/>
      <c r="D113"/>
      <c r="E113"/>
      <c r="F113"/>
      <c r="G113"/>
      <c r="H113"/>
      <c r="I113"/>
    </row>
    <row r="114" spans="1:9" x14ac:dyDescent="0.2">
      <c r="A114"/>
      <c r="B114"/>
      <c r="C114"/>
      <c r="D114"/>
      <c r="E114"/>
      <c r="F114"/>
      <c r="G114"/>
      <c r="H114"/>
      <c r="I114"/>
    </row>
    <row r="115" spans="1:9" x14ac:dyDescent="0.2">
      <c r="A115"/>
      <c r="B115"/>
      <c r="C115"/>
      <c r="D115"/>
      <c r="E115"/>
      <c r="F115"/>
      <c r="G115"/>
      <c r="H115"/>
      <c r="I115"/>
    </row>
    <row r="116" spans="1:9" x14ac:dyDescent="0.2">
      <c r="A116"/>
      <c r="B116"/>
      <c r="C116"/>
      <c r="D116"/>
      <c r="E116"/>
      <c r="F116"/>
      <c r="G116"/>
      <c r="H116"/>
      <c r="I116"/>
    </row>
    <row r="117" spans="1:9" x14ac:dyDescent="0.2">
      <c r="A117"/>
      <c r="B117"/>
      <c r="C117"/>
      <c r="D117"/>
      <c r="E117"/>
      <c r="F117"/>
      <c r="G117"/>
      <c r="H117"/>
      <c r="I117"/>
    </row>
    <row r="118" spans="1:9" x14ac:dyDescent="0.2">
      <c r="A118"/>
      <c r="B118"/>
      <c r="C118"/>
      <c r="D118"/>
      <c r="E118"/>
      <c r="F118"/>
      <c r="G118"/>
      <c r="H118"/>
      <c r="I118"/>
    </row>
    <row r="119" spans="1:9" x14ac:dyDescent="0.2">
      <c r="A119"/>
      <c r="B119"/>
      <c r="C119"/>
      <c r="D119"/>
      <c r="E119"/>
      <c r="F119"/>
      <c r="G119"/>
      <c r="H119"/>
      <c r="I119"/>
    </row>
    <row r="120" spans="1:9" x14ac:dyDescent="0.2">
      <c r="A120"/>
      <c r="B120"/>
      <c r="C120"/>
      <c r="D120"/>
      <c r="E120"/>
      <c r="F120"/>
      <c r="G120"/>
      <c r="H120"/>
      <c r="I120"/>
    </row>
    <row r="121" spans="1:9" x14ac:dyDescent="0.2">
      <c r="A121"/>
      <c r="B121"/>
      <c r="C121"/>
      <c r="D121"/>
      <c r="E121"/>
      <c r="F121"/>
      <c r="G121"/>
      <c r="H121"/>
      <c r="I121"/>
    </row>
    <row r="122" spans="1:9" x14ac:dyDescent="0.2">
      <c r="A122"/>
      <c r="B122"/>
      <c r="C122"/>
      <c r="D122"/>
      <c r="E122"/>
      <c r="F122"/>
      <c r="G122"/>
      <c r="H122"/>
      <c r="I122"/>
    </row>
    <row r="123" spans="1:9" x14ac:dyDescent="0.2">
      <c r="A123"/>
      <c r="B123"/>
      <c r="C123"/>
      <c r="D123"/>
      <c r="E123"/>
      <c r="F123"/>
      <c r="G123"/>
      <c r="H123"/>
      <c r="I123"/>
    </row>
    <row r="124" spans="1:9" x14ac:dyDescent="0.2">
      <c r="A124"/>
      <c r="B124"/>
      <c r="C124"/>
      <c r="D124"/>
      <c r="E124"/>
      <c r="F124"/>
      <c r="G124"/>
      <c r="H124"/>
      <c r="I124"/>
    </row>
    <row r="125" spans="1:9" x14ac:dyDescent="0.2">
      <c r="A125"/>
      <c r="B125"/>
      <c r="C125"/>
      <c r="D125"/>
      <c r="E125"/>
      <c r="F125"/>
      <c r="G125"/>
      <c r="H125"/>
      <c r="I125"/>
    </row>
    <row r="126" spans="1:9" x14ac:dyDescent="0.2">
      <c r="A126"/>
      <c r="B126"/>
      <c r="C126"/>
      <c r="D126"/>
      <c r="E126"/>
      <c r="F126"/>
      <c r="G126"/>
      <c r="H126"/>
      <c r="I126"/>
    </row>
    <row r="127" spans="1:9" x14ac:dyDescent="0.2">
      <c r="A127"/>
      <c r="B127"/>
      <c r="C127"/>
      <c r="D127"/>
      <c r="E127"/>
      <c r="F127"/>
      <c r="G127"/>
      <c r="H127"/>
      <c r="I127"/>
    </row>
    <row r="128" spans="1:9" x14ac:dyDescent="0.2">
      <c r="A128"/>
      <c r="B128"/>
      <c r="C128"/>
      <c r="D128"/>
      <c r="E128"/>
      <c r="F128"/>
      <c r="G128"/>
      <c r="H128"/>
      <c r="I128"/>
    </row>
    <row r="129" spans="1:9" x14ac:dyDescent="0.2">
      <c r="A129"/>
      <c r="B129"/>
      <c r="C129"/>
      <c r="D129"/>
      <c r="E129"/>
      <c r="F129"/>
      <c r="G129"/>
      <c r="H129"/>
      <c r="I129"/>
    </row>
    <row r="130" spans="1:9" x14ac:dyDescent="0.2">
      <c r="A130"/>
      <c r="B130"/>
      <c r="C130"/>
      <c r="D130"/>
      <c r="E130"/>
      <c r="F130"/>
      <c r="G130"/>
      <c r="H130"/>
      <c r="I130"/>
    </row>
    <row r="131" spans="1:9" x14ac:dyDescent="0.2">
      <c r="A131"/>
      <c r="B131"/>
      <c r="C131"/>
      <c r="D131"/>
      <c r="E131"/>
      <c r="F131"/>
      <c r="G131"/>
      <c r="H131"/>
      <c r="I131" s="12"/>
    </row>
    <row r="132" spans="1:9" x14ac:dyDescent="0.2">
      <c r="A132"/>
      <c r="B132"/>
      <c r="C132"/>
      <c r="D132"/>
      <c r="E132"/>
      <c r="F132"/>
      <c r="G132"/>
      <c r="H132"/>
      <c r="I132" s="12"/>
    </row>
    <row r="133" spans="1:9" x14ac:dyDescent="0.2">
      <c r="A133"/>
      <c r="B133"/>
      <c r="C133"/>
      <c r="D133"/>
      <c r="E133"/>
      <c r="F133"/>
      <c r="G133"/>
      <c r="H133"/>
      <c r="I133" s="12"/>
    </row>
    <row r="134" spans="1:9" x14ac:dyDescent="0.2">
      <c r="A134"/>
      <c r="B134"/>
      <c r="C134"/>
      <c r="D134"/>
      <c r="E134"/>
      <c r="F134"/>
      <c r="G134"/>
      <c r="H134"/>
      <c r="I134" s="12"/>
    </row>
    <row r="135" spans="1:9" x14ac:dyDescent="0.2">
      <c r="A135"/>
      <c r="B135"/>
      <c r="C135"/>
      <c r="D135"/>
      <c r="E135"/>
      <c r="F135"/>
      <c r="G135"/>
      <c r="H135"/>
      <c r="I135" s="12"/>
    </row>
    <row r="136" spans="1:9" x14ac:dyDescent="0.2">
      <c r="A136"/>
      <c r="B136"/>
      <c r="C136"/>
      <c r="D136"/>
      <c r="E136"/>
      <c r="F136"/>
      <c r="G136"/>
      <c r="H136"/>
      <c r="I136" s="12"/>
    </row>
    <row r="137" spans="1:9" x14ac:dyDescent="0.2">
      <c r="A137"/>
      <c r="B137"/>
      <c r="C137"/>
      <c r="D137"/>
      <c r="E137"/>
      <c r="F137"/>
      <c r="G137"/>
      <c r="H137"/>
      <c r="I137" s="12"/>
    </row>
    <row r="138" spans="1:9" x14ac:dyDescent="0.2">
      <c r="A138"/>
      <c r="B138"/>
      <c r="C138"/>
      <c r="D138"/>
      <c r="E138"/>
      <c r="F138"/>
      <c r="G138"/>
      <c r="H138"/>
    </row>
    <row r="139" spans="1:9" x14ac:dyDescent="0.2">
      <c r="A139"/>
      <c r="B139"/>
      <c r="C139"/>
      <c r="D139"/>
      <c r="E139"/>
      <c r="F139"/>
      <c r="G139"/>
      <c r="H139"/>
    </row>
    <row r="140" spans="1:9" x14ac:dyDescent="0.2">
      <c r="A140"/>
      <c r="B140"/>
      <c r="C140"/>
      <c r="D140"/>
      <c r="E140"/>
      <c r="F140"/>
      <c r="G140"/>
      <c r="H140"/>
    </row>
    <row r="141" spans="1:9" x14ac:dyDescent="0.2">
      <c r="A141"/>
      <c r="B141"/>
      <c r="C141"/>
      <c r="D141"/>
      <c r="E141"/>
      <c r="F141"/>
      <c r="G141"/>
      <c r="H141"/>
    </row>
    <row r="142" spans="1:9" x14ac:dyDescent="0.2">
      <c r="A142"/>
      <c r="B142"/>
      <c r="C142"/>
      <c r="D142"/>
      <c r="E142"/>
      <c r="F142"/>
      <c r="G142"/>
      <c r="H142"/>
    </row>
    <row r="143" spans="1:9" x14ac:dyDescent="0.2">
      <c r="A143"/>
      <c r="B143"/>
      <c r="C143"/>
      <c r="D143"/>
      <c r="E143"/>
      <c r="F143"/>
      <c r="G143"/>
      <c r="H143"/>
    </row>
    <row r="144" spans="1:9" x14ac:dyDescent="0.2">
      <c r="A144"/>
      <c r="B144"/>
      <c r="C144"/>
      <c r="D144"/>
      <c r="E144"/>
      <c r="F144"/>
      <c r="G144"/>
      <c r="H144"/>
    </row>
    <row r="145" spans="1:8" x14ac:dyDescent="0.2">
      <c r="A145"/>
      <c r="B145"/>
      <c r="C145"/>
      <c r="D145"/>
      <c r="E145"/>
      <c r="F145"/>
      <c r="G145"/>
      <c r="H145"/>
    </row>
    <row r="146" spans="1:8" x14ac:dyDescent="0.2">
      <c r="A146"/>
      <c r="B146"/>
      <c r="C146"/>
      <c r="D146"/>
      <c r="E146"/>
      <c r="F146"/>
      <c r="G146"/>
      <c r="H146"/>
    </row>
    <row r="147" spans="1:8" x14ac:dyDescent="0.2">
      <c r="A147"/>
      <c r="B147"/>
      <c r="C147"/>
      <c r="D147"/>
      <c r="E147"/>
      <c r="F147"/>
      <c r="G147"/>
      <c r="H147"/>
    </row>
    <row r="148" spans="1:8" x14ac:dyDescent="0.2">
      <c r="A148"/>
      <c r="B148"/>
      <c r="C148"/>
      <c r="D148"/>
      <c r="E148"/>
      <c r="F148"/>
      <c r="G148"/>
      <c r="H148"/>
    </row>
    <row r="149" spans="1:8" x14ac:dyDescent="0.2">
      <c r="A149"/>
      <c r="B149"/>
      <c r="C149"/>
      <c r="D149"/>
      <c r="E149"/>
      <c r="F149"/>
      <c r="G149"/>
      <c r="H149"/>
    </row>
    <row r="150" spans="1:8" x14ac:dyDescent="0.2">
      <c r="A150"/>
      <c r="B150"/>
      <c r="C150"/>
      <c r="D150"/>
      <c r="E150"/>
      <c r="F150"/>
      <c r="G150"/>
      <c r="H150"/>
    </row>
    <row r="151" spans="1:8" x14ac:dyDescent="0.2">
      <c r="A151"/>
      <c r="B151"/>
      <c r="C151"/>
      <c r="D151"/>
      <c r="E151"/>
      <c r="F151"/>
      <c r="G151"/>
      <c r="H151"/>
    </row>
    <row r="152" spans="1:8" x14ac:dyDescent="0.2">
      <c r="A152"/>
      <c r="B152"/>
      <c r="C152"/>
      <c r="D152"/>
      <c r="E152"/>
      <c r="F152"/>
      <c r="G152"/>
      <c r="H152"/>
    </row>
    <row r="153" spans="1:8" x14ac:dyDescent="0.2">
      <c r="A153"/>
      <c r="B153"/>
      <c r="C153"/>
      <c r="D153"/>
      <c r="E153"/>
      <c r="F153"/>
      <c r="G153"/>
      <c r="H153"/>
    </row>
    <row r="154" spans="1:8" x14ac:dyDescent="0.2">
      <c r="A154"/>
      <c r="B154"/>
      <c r="C154"/>
      <c r="D154"/>
      <c r="E154"/>
      <c r="F154"/>
      <c r="G154"/>
      <c r="H154"/>
    </row>
    <row r="155" spans="1:8" x14ac:dyDescent="0.2">
      <c r="A155"/>
      <c r="B155"/>
      <c r="C155"/>
      <c r="D155"/>
      <c r="E155"/>
      <c r="F155"/>
      <c r="G155"/>
      <c r="H155"/>
    </row>
    <row r="156" spans="1:8" x14ac:dyDescent="0.2">
      <c r="A156"/>
      <c r="B156"/>
      <c r="C156"/>
      <c r="D156"/>
      <c r="E156"/>
      <c r="F156"/>
      <c r="G156"/>
      <c r="H156"/>
    </row>
    <row r="157" spans="1:8" x14ac:dyDescent="0.2">
      <c r="A157"/>
      <c r="B157"/>
      <c r="C157"/>
      <c r="D157"/>
      <c r="E157"/>
      <c r="F157"/>
      <c r="G157"/>
      <c r="H157"/>
    </row>
    <row r="158" spans="1:8" x14ac:dyDescent="0.2">
      <c r="A158"/>
      <c r="B158"/>
      <c r="C158"/>
      <c r="D158"/>
      <c r="E158"/>
      <c r="F158"/>
      <c r="G158"/>
      <c r="H158"/>
    </row>
    <row r="159" spans="1:8" x14ac:dyDescent="0.2">
      <c r="A159"/>
      <c r="B159"/>
      <c r="C159"/>
      <c r="D159"/>
      <c r="E159"/>
      <c r="F159"/>
      <c r="G159"/>
      <c r="H159"/>
    </row>
    <row r="160" spans="1:8" x14ac:dyDescent="0.2">
      <c r="A160"/>
      <c r="B160"/>
      <c r="C160"/>
      <c r="D160"/>
      <c r="E160"/>
      <c r="F160"/>
      <c r="G160"/>
      <c r="H160"/>
    </row>
    <row r="161" spans="1:8" x14ac:dyDescent="0.2">
      <c r="A161"/>
      <c r="B161"/>
      <c r="C161"/>
      <c r="D161"/>
      <c r="E161"/>
      <c r="F161"/>
      <c r="G161"/>
      <c r="H161"/>
    </row>
    <row r="162" spans="1:8" x14ac:dyDescent="0.2">
      <c r="A162"/>
      <c r="B162"/>
      <c r="C162"/>
      <c r="D162"/>
      <c r="E162"/>
      <c r="F162"/>
      <c r="G162"/>
      <c r="H162"/>
    </row>
    <row r="163" spans="1:8" x14ac:dyDescent="0.2">
      <c r="A163"/>
      <c r="B163"/>
      <c r="C163"/>
      <c r="D163"/>
      <c r="E163"/>
      <c r="F163"/>
      <c r="G163"/>
      <c r="H163"/>
    </row>
    <row r="164" spans="1:8" x14ac:dyDescent="0.2">
      <c r="A164"/>
      <c r="B164"/>
      <c r="C164"/>
      <c r="D164"/>
      <c r="E164"/>
      <c r="F164"/>
      <c r="G164"/>
      <c r="H164"/>
    </row>
    <row r="165" spans="1:8" x14ac:dyDescent="0.2">
      <c r="A165"/>
      <c r="B165"/>
      <c r="C165"/>
      <c r="D165"/>
      <c r="E165"/>
      <c r="F165"/>
      <c r="G165"/>
      <c r="H165"/>
    </row>
    <row r="166" spans="1:8" x14ac:dyDescent="0.2">
      <c r="A166"/>
      <c r="B166"/>
      <c r="C166"/>
      <c r="D166"/>
      <c r="E166"/>
      <c r="F166"/>
      <c r="G166"/>
      <c r="H166"/>
    </row>
    <row r="167" spans="1:8" x14ac:dyDescent="0.2">
      <c r="A167"/>
      <c r="B167"/>
      <c r="C167"/>
      <c r="D167"/>
      <c r="E167"/>
      <c r="F167"/>
      <c r="G167"/>
      <c r="H167"/>
    </row>
    <row r="168" spans="1:8" x14ac:dyDescent="0.2">
      <c r="A168"/>
      <c r="B168"/>
      <c r="C168"/>
      <c r="D168"/>
      <c r="E168"/>
      <c r="F168"/>
      <c r="G168"/>
      <c r="H168"/>
    </row>
    <row r="169" spans="1:8" x14ac:dyDescent="0.2">
      <c r="A169"/>
      <c r="B169"/>
      <c r="C169"/>
      <c r="D169"/>
      <c r="E169"/>
      <c r="F169"/>
      <c r="G169"/>
      <c r="H169"/>
    </row>
    <row r="170" spans="1:8" x14ac:dyDescent="0.2">
      <c r="A170"/>
      <c r="B170"/>
      <c r="C170"/>
      <c r="D170"/>
      <c r="E170"/>
      <c r="F170"/>
      <c r="G170"/>
      <c r="H170"/>
    </row>
    <row r="171" spans="1:8" x14ac:dyDescent="0.2">
      <c r="A171"/>
      <c r="B171"/>
      <c r="C171"/>
      <c r="D171"/>
      <c r="E171"/>
      <c r="F171"/>
      <c r="G171"/>
      <c r="H171"/>
    </row>
    <row r="172" spans="1:8" x14ac:dyDescent="0.2">
      <c r="A172"/>
      <c r="B172"/>
      <c r="C172"/>
      <c r="D172"/>
      <c r="E172"/>
      <c r="F172"/>
      <c r="G172"/>
      <c r="H172"/>
    </row>
    <row r="173" spans="1:8" x14ac:dyDescent="0.2">
      <c r="A173"/>
      <c r="B173"/>
      <c r="C173"/>
      <c r="D173"/>
      <c r="E173"/>
      <c r="F173"/>
      <c r="G173"/>
      <c r="H173"/>
    </row>
    <row r="174" spans="1:8" x14ac:dyDescent="0.2">
      <c r="A174"/>
      <c r="B174"/>
      <c r="C174"/>
      <c r="D174"/>
      <c r="E174"/>
      <c r="F174"/>
      <c r="G174"/>
      <c r="H174"/>
    </row>
    <row r="175" spans="1:8" x14ac:dyDescent="0.2">
      <c r="A175"/>
      <c r="B175"/>
      <c r="C175"/>
      <c r="D175"/>
      <c r="E175"/>
      <c r="F175"/>
      <c r="G175"/>
      <c r="H175"/>
    </row>
    <row r="176" spans="1:8" x14ac:dyDescent="0.2">
      <c r="A176"/>
      <c r="B176"/>
      <c r="C176"/>
      <c r="D176"/>
      <c r="E176"/>
      <c r="F176"/>
      <c r="G176"/>
      <c r="H176"/>
    </row>
    <row r="177" spans="1:8" x14ac:dyDescent="0.2">
      <c r="A177"/>
      <c r="B177"/>
      <c r="C177"/>
      <c r="D177"/>
      <c r="E177"/>
      <c r="F177"/>
      <c r="G177"/>
      <c r="H177"/>
    </row>
    <row r="178" spans="1:8" x14ac:dyDescent="0.2">
      <c r="A178"/>
      <c r="B178"/>
      <c r="C178"/>
      <c r="D178"/>
      <c r="E178"/>
      <c r="F178"/>
      <c r="G178"/>
      <c r="H178"/>
    </row>
    <row r="179" spans="1:8" x14ac:dyDescent="0.2">
      <c r="A179"/>
      <c r="B179"/>
      <c r="C179"/>
      <c r="D179"/>
      <c r="E179"/>
      <c r="F179"/>
      <c r="G179"/>
      <c r="H179"/>
    </row>
    <row r="180" spans="1:8" x14ac:dyDescent="0.2">
      <c r="A180"/>
      <c r="B180"/>
      <c r="C180"/>
      <c r="D180"/>
      <c r="E180"/>
      <c r="F180"/>
      <c r="G180"/>
      <c r="H180"/>
    </row>
    <row r="181" spans="1:8" x14ac:dyDescent="0.2">
      <c r="A181"/>
      <c r="B181"/>
      <c r="C181"/>
      <c r="D181"/>
      <c r="E181"/>
      <c r="F181"/>
      <c r="G181"/>
      <c r="H181"/>
    </row>
    <row r="182" spans="1:8" x14ac:dyDescent="0.2">
      <c r="A182"/>
      <c r="B182"/>
      <c r="C182"/>
      <c r="D182"/>
      <c r="E182"/>
      <c r="F182"/>
      <c r="G182"/>
      <c r="H182"/>
    </row>
    <row r="183" spans="1:8" x14ac:dyDescent="0.2">
      <c r="A183"/>
      <c r="B183"/>
      <c r="C183"/>
      <c r="D183"/>
      <c r="E183"/>
      <c r="F183"/>
      <c r="G183"/>
      <c r="H183"/>
    </row>
    <row r="184" spans="1:8" x14ac:dyDescent="0.2">
      <c r="A184"/>
      <c r="B184"/>
      <c r="C184"/>
      <c r="D184"/>
      <c r="E184"/>
      <c r="F184"/>
      <c r="G184"/>
      <c r="H184"/>
    </row>
    <row r="185" spans="1:8" x14ac:dyDescent="0.2">
      <c r="A185"/>
      <c r="B185"/>
      <c r="C185"/>
      <c r="D185"/>
      <c r="E185"/>
      <c r="F185"/>
      <c r="G185"/>
      <c r="H185"/>
    </row>
    <row r="186" spans="1:8" x14ac:dyDescent="0.2">
      <c r="A186"/>
      <c r="B186"/>
      <c r="C186"/>
      <c r="D186"/>
      <c r="E186"/>
      <c r="F186"/>
      <c r="G186"/>
      <c r="H186"/>
    </row>
    <row r="187" spans="1:8" x14ac:dyDescent="0.2">
      <c r="A187"/>
      <c r="B187"/>
      <c r="C187"/>
      <c r="D187"/>
      <c r="E187"/>
      <c r="F187"/>
      <c r="G187"/>
      <c r="H187"/>
    </row>
    <row r="188" spans="1:8" x14ac:dyDescent="0.2">
      <c r="A188"/>
      <c r="B188"/>
      <c r="C188"/>
      <c r="D188"/>
      <c r="E188"/>
      <c r="F188"/>
      <c r="G188"/>
      <c r="H188"/>
    </row>
    <row r="189" spans="1:8" x14ac:dyDescent="0.2">
      <c r="A189"/>
      <c r="B189"/>
      <c r="C189"/>
      <c r="D189"/>
      <c r="E189"/>
      <c r="F189"/>
      <c r="G189"/>
      <c r="H189"/>
    </row>
    <row r="190" spans="1:8" x14ac:dyDescent="0.2">
      <c r="A190"/>
      <c r="B190"/>
      <c r="C190"/>
      <c r="D190"/>
      <c r="E190"/>
      <c r="F190"/>
      <c r="G190"/>
      <c r="H190"/>
    </row>
    <row r="191" spans="1:8" x14ac:dyDescent="0.2">
      <c r="A191"/>
      <c r="B191"/>
      <c r="C191"/>
      <c r="D191"/>
      <c r="E191"/>
      <c r="F191"/>
      <c r="G191"/>
      <c r="H191"/>
    </row>
    <row r="192" spans="1:8" x14ac:dyDescent="0.2">
      <c r="A192"/>
      <c r="B192"/>
      <c r="C192"/>
      <c r="D192"/>
      <c r="E192"/>
      <c r="F192"/>
      <c r="G192"/>
      <c r="H192"/>
    </row>
    <row r="193" spans="1:8" x14ac:dyDescent="0.2">
      <c r="A193"/>
      <c r="B193"/>
      <c r="C193"/>
      <c r="D193"/>
      <c r="E193"/>
      <c r="F193"/>
      <c r="G193"/>
      <c r="H193"/>
    </row>
    <row r="194" spans="1:8" x14ac:dyDescent="0.2">
      <c r="A194"/>
      <c r="B194"/>
      <c r="C194"/>
      <c r="D194"/>
      <c r="E194"/>
      <c r="F194"/>
      <c r="G194"/>
      <c r="H194"/>
    </row>
    <row r="195" spans="1:8" x14ac:dyDescent="0.2">
      <c r="A195"/>
      <c r="B195"/>
      <c r="C195"/>
      <c r="D195"/>
      <c r="E195"/>
      <c r="F195"/>
      <c r="G195"/>
      <c r="H195"/>
    </row>
    <row r="196" spans="1:8" x14ac:dyDescent="0.2">
      <c r="A196"/>
      <c r="B196"/>
      <c r="C196"/>
      <c r="D196"/>
      <c r="E196"/>
      <c r="F196"/>
      <c r="G196"/>
      <c r="H196"/>
    </row>
    <row r="197" spans="1:8" x14ac:dyDescent="0.2">
      <c r="A197"/>
      <c r="B197"/>
      <c r="C197"/>
      <c r="D197"/>
      <c r="E197"/>
      <c r="F197"/>
      <c r="G197"/>
      <c r="H197"/>
    </row>
    <row r="198" spans="1:8" x14ac:dyDescent="0.2">
      <c r="A198"/>
      <c r="B198"/>
      <c r="C198"/>
      <c r="D198"/>
      <c r="E198"/>
      <c r="F198"/>
      <c r="G198"/>
      <c r="H198"/>
    </row>
    <row r="199" spans="1:8" x14ac:dyDescent="0.2">
      <c r="A199"/>
      <c r="B199"/>
      <c r="C199"/>
      <c r="D199"/>
      <c r="E199"/>
      <c r="F199"/>
      <c r="G199"/>
      <c r="H199"/>
    </row>
    <row r="200" spans="1:8" x14ac:dyDescent="0.2">
      <c r="A200"/>
      <c r="B200"/>
      <c r="C200"/>
      <c r="D200"/>
      <c r="E200"/>
      <c r="F200"/>
      <c r="G200"/>
      <c r="H200"/>
    </row>
    <row r="201" spans="1:8" x14ac:dyDescent="0.2">
      <c r="A201"/>
      <c r="B201"/>
      <c r="C201"/>
      <c r="D201"/>
      <c r="E201"/>
      <c r="F201"/>
      <c r="G201"/>
      <c r="H201"/>
    </row>
    <row r="202" spans="1:8" x14ac:dyDescent="0.2">
      <c r="A202"/>
      <c r="B202"/>
      <c r="C202"/>
      <c r="D202"/>
      <c r="E202"/>
      <c r="F202"/>
      <c r="G202"/>
      <c r="H202"/>
    </row>
    <row r="203" spans="1:8" x14ac:dyDescent="0.2">
      <c r="A203"/>
      <c r="B203"/>
      <c r="C203"/>
      <c r="D203"/>
      <c r="E203"/>
      <c r="F203"/>
      <c r="G203"/>
      <c r="H203"/>
    </row>
    <row r="204" spans="1:8" x14ac:dyDescent="0.2">
      <c r="A204"/>
      <c r="B204"/>
      <c r="C204"/>
      <c r="D204"/>
      <c r="E204"/>
      <c r="F204"/>
      <c r="G204"/>
      <c r="H204"/>
    </row>
    <row r="205" spans="1:8" x14ac:dyDescent="0.2">
      <c r="A205"/>
      <c r="B205"/>
      <c r="C205"/>
      <c r="D205"/>
      <c r="E205"/>
      <c r="F205"/>
      <c r="G205"/>
      <c r="H205"/>
    </row>
    <row r="206" spans="1:8" x14ac:dyDescent="0.2">
      <c r="A206"/>
      <c r="B206"/>
      <c r="C206"/>
      <c r="D206"/>
      <c r="E206"/>
      <c r="F206"/>
      <c r="G206"/>
      <c r="H206"/>
    </row>
    <row r="207" spans="1:8" x14ac:dyDescent="0.2">
      <c r="A207"/>
      <c r="B207"/>
      <c r="C207"/>
      <c r="D207"/>
      <c r="E207"/>
      <c r="F207"/>
      <c r="G207"/>
      <c r="H207"/>
    </row>
    <row r="208" spans="1:8" x14ac:dyDescent="0.2">
      <c r="A208"/>
      <c r="B208"/>
      <c r="C208"/>
      <c r="D208"/>
      <c r="E208"/>
      <c r="F208"/>
      <c r="G208"/>
      <c r="H208"/>
    </row>
    <row r="209" spans="1:8" x14ac:dyDescent="0.2">
      <c r="A209"/>
      <c r="B209"/>
      <c r="C209"/>
      <c r="D209"/>
      <c r="E209"/>
      <c r="F209"/>
      <c r="G209"/>
      <c r="H209"/>
    </row>
    <row r="210" spans="1:8" x14ac:dyDescent="0.2">
      <c r="A210"/>
      <c r="B210"/>
      <c r="C210"/>
      <c r="D210"/>
      <c r="E210"/>
      <c r="F210"/>
      <c r="G210"/>
      <c r="H210"/>
    </row>
    <row r="211" spans="1:8" x14ac:dyDescent="0.2">
      <c r="A211"/>
      <c r="B211"/>
      <c r="C211"/>
      <c r="D211"/>
      <c r="E211"/>
      <c r="F211"/>
      <c r="G211"/>
      <c r="H211"/>
    </row>
    <row r="212" spans="1:8" x14ac:dyDescent="0.2">
      <c r="A212"/>
      <c r="B212"/>
      <c r="C212"/>
      <c r="D212"/>
      <c r="E212"/>
      <c r="F212"/>
      <c r="G212"/>
      <c r="H212"/>
    </row>
    <row r="213" spans="1:8" x14ac:dyDescent="0.2">
      <c r="A213"/>
      <c r="B213"/>
      <c r="C213"/>
      <c r="D213"/>
      <c r="E213"/>
      <c r="F213"/>
      <c r="G213"/>
      <c r="H213"/>
    </row>
    <row r="214" spans="1:8" x14ac:dyDescent="0.2">
      <c r="A214"/>
      <c r="B214"/>
      <c r="C214"/>
      <c r="D214"/>
      <c r="E214"/>
      <c r="F214"/>
      <c r="G214"/>
      <c r="H214"/>
    </row>
    <row r="215" spans="1:8" x14ac:dyDescent="0.2">
      <c r="A215"/>
      <c r="B215"/>
      <c r="C215"/>
      <c r="D215"/>
      <c r="E215"/>
      <c r="F215"/>
      <c r="G215"/>
      <c r="H215"/>
    </row>
    <row r="216" spans="1:8" x14ac:dyDescent="0.2">
      <c r="A216"/>
      <c r="B216"/>
      <c r="C216"/>
      <c r="D216"/>
      <c r="E216"/>
      <c r="F216"/>
      <c r="G216"/>
      <c r="H216"/>
    </row>
    <row r="217" spans="1:8" x14ac:dyDescent="0.2">
      <c r="A217"/>
      <c r="B217"/>
      <c r="C217"/>
      <c r="D217"/>
      <c r="E217"/>
      <c r="F217"/>
      <c r="G217"/>
      <c r="H217"/>
    </row>
    <row r="218" spans="1:8" x14ac:dyDescent="0.2">
      <c r="A218"/>
      <c r="B218"/>
      <c r="C218"/>
      <c r="D218"/>
      <c r="E218"/>
      <c r="F218"/>
      <c r="G218"/>
      <c r="H218"/>
    </row>
    <row r="219" spans="1:8" x14ac:dyDescent="0.2">
      <c r="A219"/>
      <c r="B219"/>
      <c r="C219"/>
      <c r="D219"/>
      <c r="E219"/>
      <c r="F219"/>
      <c r="G219"/>
      <c r="H219"/>
    </row>
    <row r="220" spans="1:8" x14ac:dyDescent="0.2">
      <c r="A220"/>
      <c r="B220"/>
      <c r="C220"/>
      <c r="D220"/>
      <c r="E220"/>
      <c r="F220"/>
      <c r="G220"/>
      <c r="H220"/>
    </row>
    <row r="221" spans="1:8" x14ac:dyDescent="0.2">
      <c r="A221"/>
      <c r="B221"/>
      <c r="C221"/>
      <c r="D221"/>
      <c r="E221"/>
      <c r="F221"/>
      <c r="G221"/>
      <c r="H221"/>
    </row>
    <row r="222" spans="1:8" x14ac:dyDescent="0.2">
      <c r="A222"/>
      <c r="B222"/>
      <c r="C222"/>
      <c r="D222"/>
      <c r="E222"/>
      <c r="F222"/>
      <c r="G222"/>
      <c r="H222"/>
    </row>
    <row r="223" spans="1:8" x14ac:dyDescent="0.2">
      <c r="A223"/>
      <c r="B223"/>
      <c r="C223"/>
      <c r="D223"/>
      <c r="E223"/>
      <c r="F223"/>
      <c r="G223"/>
      <c r="H223"/>
    </row>
    <row r="224" spans="1:8" x14ac:dyDescent="0.2">
      <c r="A224"/>
      <c r="B224"/>
      <c r="C224"/>
      <c r="D224"/>
      <c r="E224"/>
      <c r="F224"/>
      <c r="G224"/>
      <c r="H224"/>
    </row>
    <row r="225" spans="1:8" x14ac:dyDescent="0.2">
      <c r="A225"/>
      <c r="B225"/>
      <c r="C225"/>
      <c r="D225"/>
      <c r="E225"/>
      <c r="F225"/>
      <c r="G225"/>
      <c r="H225"/>
    </row>
    <row r="226" spans="1:8" x14ac:dyDescent="0.2">
      <c r="A226"/>
      <c r="B226"/>
      <c r="C226"/>
      <c r="D226"/>
      <c r="E226"/>
      <c r="F226"/>
      <c r="G226"/>
      <c r="H226"/>
    </row>
    <row r="227" spans="1:8" x14ac:dyDescent="0.2">
      <c r="A227"/>
      <c r="B227"/>
      <c r="C227"/>
      <c r="D227"/>
      <c r="E227"/>
      <c r="F227"/>
      <c r="G227"/>
      <c r="H227"/>
    </row>
    <row r="228" spans="1:8" x14ac:dyDescent="0.2">
      <c r="A228"/>
      <c r="B228"/>
      <c r="C228"/>
      <c r="D228"/>
      <c r="E228"/>
      <c r="F228"/>
      <c r="G228"/>
      <c r="H228"/>
    </row>
    <row r="229" spans="1:8" x14ac:dyDescent="0.2">
      <c r="A229"/>
      <c r="B229"/>
      <c r="C229"/>
      <c r="D229"/>
      <c r="E229"/>
      <c r="F229"/>
      <c r="G229"/>
      <c r="H229"/>
    </row>
    <row r="230" spans="1:8" x14ac:dyDescent="0.2">
      <c r="A230"/>
      <c r="B230"/>
      <c r="C230"/>
      <c r="D230"/>
      <c r="E230"/>
      <c r="F230"/>
      <c r="G230"/>
      <c r="H230"/>
    </row>
    <row r="231" spans="1:8" x14ac:dyDescent="0.2">
      <c r="A231"/>
      <c r="B231"/>
      <c r="C231"/>
      <c r="D231"/>
      <c r="E231"/>
      <c r="F231"/>
      <c r="G231"/>
      <c r="H231"/>
    </row>
    <row r="232" spans="1:8" x14ac:dyDescent="0.2">
      <c r="A232"/>
      <c r="B232"/>
      <c r="C232"/>
      <c r="D232"/>
      <c r="E232"/>
      <c r="F232"/>
      <c r="G232"/>
      <c r="H232"/>
    </row>
    <row r="233" spans="1:8" x14ac:dyDescent="0.2">
      <c r="A233"/>
      <c r="B233"/>
      <c r="C233"/>
      <c r="D233"/>
      <c r="E233"/>
      <c r="F233"/>
      <c r="G233"/>
      <c r="H233"/>
    </row>
    <row r="234" spans="1:8" x14ac:dyDescent="0.2">
      <c r="A234"/>
      <c r="B234"/>
      <c r="C234"/>
      <c r="D234"/>
      <c r="E234"/>
      <c r="F234"/>
      <c r="G234"/>
      <c r="H234"/>
    </row>
    <row r="235" spans="1:8" x14ac:dyDescent="0.2">
      <c r="A235"/>
      <c r="B235"/>
      <c r="C235"/>
      <c r="D235"/>
      <c r="E235"/>
      <c r="F235"/>
      <c r="G235"/>
      <c r="H235"/>
    </row>
    <row r="236" spans="1:8" x14ac:dyDescent="0.2">
      <c r="A236"/>
      <c r="B236"/>
      <c r="C236"/>
      <c r="D236"/>
      <c r="E236"/>
      <c r="F236"/>
      <c r="G236"/>
      <c r="H236"/>
    </row>
    <row r="237" spans="1:8" x14ac:dyDescent="0.2">
      <c r="A237"/>
      <c r="B237"/>
      <c r="C237"/>
      <c r="D237"/>
      <c r="E237"/>
      <c r="F237"/>
      <c r="G237"/>
      <c r="H237"/>
    </row>
    <row r="238" spans="1:8" x14ac:dyDescent="0.2">
      <c r="A238"/>
      <c r="B238"/>
      <c r="C238"/>
      <c r="D238"/>
      <c r="E238"/>
      <c r="F238"/>
      <c r="G238"/>
      <c r="H238"/>
    </row>
    <row r="239" spans="1:8" x14ac:dyDescent="0.2">
      <c r="A239"/>
      <c r="B239"/>
      <c r="C239"/>
      <c r="D239"/>
      <c r="E239"/>
      <c r="F239"/>
      <c r="G239"/>
      <c r="H239"/>
    </row>
    <row r="240" spans="1:8" x14ac:dyDescent="0.2">
      <c r="A240"/>
      <c r="B240"/>
      <c r="C240"/>
      <c r="D240"/>
      <c r="E240"/>
      <c r="F240"/>
      <c r="G240"/>
      <c r="H240"/>
    </row>
    <row r="241" spans="1:8" x14ac:dyDescent="0.2">
      <c r="A241"/>
      <c r="B241"/>
      <c r="C241"/>
      <c r="D241"/>
      <c r="E241"/>
      <c r="F241"/>
      <c r="G241"/>
      <c r="H241"/>
    </row>
    <row r="242" spans="1:8" x14ac:dyDescent="0.2">
      <c r="A242"/>
      <c r="B242"/>
      <c r="C242"/>
      <c r="D242"/>
      <c r="E242"/>
      <c r="F242"/>
      <c r="G242"/>
      <c r="H242"/>
    </row>
    <row r="243" spans="1:8" x14ac:dyDescent="0.2">
      <c r="A243"/>
      <c r="B243"/>
      <c r="C243"/>
      <c r="D243"/>
      <c r="E243"/>
      <c r="F243"/>
      <c r="G243"/>
      <c r="H243"/>
    </row>
    <row r="244" spans="1:8" x14ac:dyDescent="0.2">
      <c r="A244"/>
      <c r="B244"/>
      <c r="C244"/>
      <c r="D244"/>
      <c r="E244"/>
      <c r="F244"/>
      <c r="G244"/>
      <c r="H244"/>
    </row>
    <row r="245" spans="1:8" x14ac:dyDescent="0.2">
      <c r="A245"/>
      <c r="B245"/>
      <c r="C245"/>
      <c r="D245"/>
      <c r="E245"/>
      <c r="F245"/>
      <c r="G245"/>
      <c r="H245"/>
    </row>
    <row r="246" spans="1:8" x14ac:dyDescent="0.2">
      <c r="A246"/>
      <c r="B246"/>
      <c r="C246"/>
      <c r="D246"/>
      <c r="E246"/>
      <c r="F246"/>
      <c r="G246"/>
      <c r="H246"/>
    </row>
    <row r="247" spans="1:8" x14ac:dyDescent="0.2">
      <c r="A247"/>
      <c r="B247"/>
      <c r="C247"/>
      <c r="D247"/>
      <c r="E247"/>
      <c r="F247"/>
      <c r="G247"/>
      <c r="H247"/>
    </row>
    <row r="248" spans="1:8" x14ac:dyDescent="0.2">
      <c r="A248"/>
      <c r="B248"/>
      <c r="C248"/>
      <c r="D248"/>
      <c r="E248"/>
      <c r="F248"/>
      <c r="G248"/>
      <c r="H248"/>
    </row>
    <row r="249" spans="1:8" x14ac:dyDescent="0.2">
      <c r="A249"/>
      <c r="B249"/>
      <c r="C249"/>
      <c r="D249"/>
      <c r="E249"/>
      <c r="F249"/>
      <c r="G249"/>
      <c r="H249"/>
    </row>
    <row r="250" spans="1:8" x14ac:dyDescent="0.2">
      <c r="A250"/>
      <c r="B250"/>
      <c r="C250"/>
      <c r="D250"/>
      <c r="E250"/>
      <c r="F250"/>
      <c r="G250"/>
      <c r="H250"/>
    </row>
    <row r="251" spans="1:8" x14ac:dyDescent="0.2">
      <c r="A251"/>
      <c r="B251"/>
      <c r="C251"/>
      <c r="D251"/>
      <c r="E251"/>
      <c r="F251"/>
      <c r="G251"/>
      <c r="H251"/>
    </row>
    <row r="252" spans="1:8" x14ac:dyDescent="0.2">
      <c r="A252"/>
      <c r="B252"/>
      <c r="C252"/>
      <c r="D252"/>
      <c r="E252"/>
      <c r="F252"/>
      <c r="G252"/>
      <c r="H252"/>
    </row>
    <row r="253" spans="1:8" x14ac:dyDescent="0.2">
      <c r="A253"/>
      <c r="B253"/>
      <c r="C253"/>
      <c r="D253"/>
      <c r="E253"/>
      <c r="F253"/>
      <c r="G253"/>
      <c r="H253"/>
    </row>
    <row r="254" spans="1:8" x14ac:dyDescent="0.2">
      <c r="A254"/>
      <c r="B254"/>
      <c r="C254"/>
      <c r="D254"/>
      <c r="E254"/>
      <c r="F254"/>
      <c r="G254"/>
      <c r="H254"/>
    </row>
    <row r="255" spans="1:8" x14ac:dyDescent="0.2">
      <c r="A255"/>
      <c r="B255"/>
      <c r="C255"/>
      <c r="D255"/>
      <c r="E255"/>
      <c r="F255"/>
      <c r="G255"/>
      <c r="H255"/>
    </row>
    <row r="256" spans="1:8" x14ac:dyDescent="0.2">
      <c r="A256"/>
      <c r="B256"/>
      <c r="C256"/>
      <c r="D256"/>
      <c r="E256"/>
      <c r="F256"/>
      <c r="G256"/>
      <c r="H256"/>
    </row>
    <row r="257" spans="1:8" x14ac:dyDescent="0.2">
      <c r="A257"/>
      <c r="B257"/>
      <c r="C257"/>
      <c r="D257"/>
      <c r="E257"/>
      <c r="F257"/>
      <c r="G257"/>
      <c r="H257"/>
    </row>
    <row r="258" spans="1:8" x14ac:dyDescent="0.2">
      <c r="A258"/>
      <c r="B258"/>
      <c r="C258"/>
      <c r="D258"/>
      <c r="E258"/>
      <c r="F258"/>
      <c r="G258"/>
      <c r="H258"/>
    </row>
    <row r="259" spans="1:8" x14ac:dyDescent="0.2">
      <c r="A259"/>
      <c r="B259"/>
      <c r="C259"/>
      <c r="D259"/>
      <c r="E259"/>
      <c r="F259"/>
      <c r="G259"/>
      <c r="H259"/>
    </row>
    <row r="260" spans="1:8" x14ac:dyDescent="0.2">
      <c r="A260"/>
      <c r="B260"/>
      <c r="C260"/>
      <c r="D260"/>
      <c r="E260"/>
      <c r="F260"/>
      <c r="G260"/>
      <c r="H260"/>
    </row>
    <row r="261" spans="1:8" x14ac:dyDescent="0.2">
      <c r="A261"/>
      <c r="B261"/>
      <c r="C261"/>
      <c r="D261"/>
      <c r="E261"/>
      <c r="F261"/>
      <c r="G261"/>
      <c r="H261"/>
    </row>
    <row r="262" spans="1:8" x14ac:dyDescent="0.2">
      <c r="A262"/>
      <c r="B262"/>
      <c r="C262"/>
      <c r="D262"/>
      <c r="E262"/>
      <c r="F262"/>
      <c r="G262"/>
      <c r="H262"/>
    </row>
    <row r="263" spans="1:8" x14ac:dyDescent="0.2">
      <c r="A263"/>
      <c r="B263"/>
      <c r="C263"/>
      <c r="D263"/>
      <c r="E263"/>
      <c r="F263"/>
      <c r="G263"/>
      <c r="H263"/>
    </row>
    <row r="264" spans="1:8" x14ac:dyDescent="0.2">
      <c r="A264"/>
      <c r="B264"/>
      <c r="C264"/>
      <c r="D264"/>
      <c r="E264"/>
      <c r="F264"/>
      <c r="G264"/>
      <c r="H264"/>
    </row>
    <row r="265" spans="1:8" x14ac:dyDescent="0.2">
      <c r="A265"/>
      <c r="B265"/>
      <c r="C265"/>
      <c r="D265"/>
      <c r="E265"/>
      <c r="F265"/>
      <c r="G265"/>
      <c r="H265"/>
    </row>
    <row r="266" spans="1:8" x14ac:dyDescent="0.2">
      <c r="A266"/>
      <c r="B266"/>
      <c r="C266"/>
      <c r="D266"/>
      <c r="E266"/>
      <c r="F266"/>
      <c r="G266"/>
      <c r="H266"/>
    </row>
    <row r="267" spans="1:8" x14ac:dyDescent="0.2">
      <c r="A267"/>
      <c r="B267"/>
      <c r="C267"/>
      <c r="D267"/>
      <c r="E267"/>
      <c r="F267"/>
      <c r="G267"/>
      <c r="H267"/>
    </row>
    <row r="268" spans="1:8" x14ac:dyDescent="0.2">
      <c r="A268"/>
      <c r="B268"/>
      <c r="C268"/>
      <c r="D268"/>
      <c r="E268"/>
      <c r="F268"/>
      <c r="G268"/>
      <c r="H268"/>
    </row>
    <row r="269" spans="1:8" x14ac:dyDescent="0.2">
      <c r="A269"/>
      <c r="B269"/>
      <c r="C269"/>
      <c r="D269"/>
      <c r="E269"/>
      <c r="F269"/>
      <c r="G269"/>
      <c r="H269"/>
    </row>
    <row r="270" spans="1:8" x14ac:dyDescent="0.2">
      <c r="A270"/>
      <c r="B270"/>
      <c r="C270"/>
      <c r="D270"/>
      <c r="E270"/>
      <c r="F270"/>
      <c r="G270"/>
      <c r="H270"/>
    </row>
    <row r="271" spans="1:8" x14ac:dyDescent="0.2">
      <c r="A271"/>
      <c r="B271"/>
      <c r="C271"/>
      <c r="D271"/>
      <c r="E271"/>
      <c r="F271"/>
      <c r="G271"/>
      <c r="H271"/>
    </row>
  </sheetData>
  <mergeCells count="1">
    <mergeCell ref="A1:K1"/>
  </mergeCells>
  <phoneticPr fontId="0" type="noConversion"/>
  <pageMargins left="0" right="0" top="0" bottom="0" header="0" footer="0"/>
  <pageSetup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6"/>
  <sheetViews>
    <sheetView workbookViewId="0">
      <selection activeCell="N25" sqref="N25"/>
    </sheetView>
  </sheetViews>
  <sheetFormatPr defaultColWidth="10" defaultRowHeight="12.75" x14ac:dyDescent="0.2"/>
  <cols>
    <col min="1" max="1" width="11" style="2" customWidth="1"/>
    <col min="2" max="2" width="31.5703125" style="2" customWidth="1"/>
    <col min="3" max="3" width="17.140625" style="26" customWidth="1"/>
    <col min="4" max="4" width="2.28515625" style="26" customWidth="1"/>
    <col min="5" max="5" width="17.140625" style="26" customWidth="1"/>
    <col min="6" max="6" width="2.28515625" style="26" customWidth="1"/>
    <col min="7" max="7" width="15" style="26" customWidth="1"/>
    <col min="8" max="8" width="2.28515625" style="26" customWidth="1"/>
    <col min="9" max="9" width="15" style="26" customWidth="1"/>
    <col min="10" max="10" width="2.28515625" customWidth="1"/>
    <col min="11" max="11" width="15" style="233" customWidth="1"/>
    <col min="12" max="16384" width="10" style="2"/>
  </cols>
  <sheetData>
    <row r="1" spans="1:11" x14ac:dyDescent="0.2">
      <c r="A1" s="326" t="s">
        <v>300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1" x14ac:dyDescent="0.2">
      <c r="A2" s="163"/>
      <c r="B2" s="163"/>
      <c r="C2" s="163"/>
      <c r="D2" s="163"/>
      <c r="E2" s="163"/>
      <c r="F2" s="163"/>
      <c r="G2" s="163"/>
      <c r="H2" s="163"/>
      <c r="I2" s="163"/>
    </row>
    <row r="3" spans="1:11" x14ac:dyDescent="0.2">
      <c r="C3" s="42" t="str">
        <f>cover!C6</f>
        <v>APPROVED</v>
      </c>
      <c r="D3" s="42"/>
      <c r="E3" s="42" t="str">
        <f>cover!E6</f>
        <v xml:space="preserve"> </v>
      </c>
      <c r="F3" s="42"/>
      <c r="G3" s="42" t="str">
        <f>cover!G6</f>
        <v>APPROVED</v>
      </c>
      <c r="H3" s="42"/>
      <c r="I3" s="42" t="str">
        <f>cover!I6</f>
        <v>REQUESTED</v>
      </c>
      <c r="K3" s="126" t="str">
        <f>cover!K6</f>
        <v>PERCENT</v>
      </c>
    </row>
    <row r="4" spans="1:11" x14ac:dyDescent="0.2">
      <c r="C4" s="42" t="str">
        <f>cover!C7</f>
        <v>BUDGET</v>
      </c>
      <c r="D4" s="42"/>
      <c r="E4" s="42" t="str">
        <f>cover!E7</f>
        <v>ACTUAL</v>
      </c>
      <c r="F4" s="42"/>
      <c r="G4" s="42" t="str">
        <f>cover!G7</f>
        <v>BUDGET</v>
      </c>
      <c r="H4" s="42"/>
      <c r="I4" s="42" t="str">
        <f>cover!I7</f>
        <v>BUDGET</v>
      </c>
      <c r="K4" s="126" t="str">
        <f>cover!K7</f>
        <v>CHANGE</v>
      </c>
    </row>
    <row r="5" spans="1:11" x14ac:dyDescent="0.2">
      <c r="A5" s="293"/>
      <c r="B5" s="293"/>
      <c r="C5" s="292" t="str">
        <f>cover!C8</f>
        <v>2010-11</v>
      </c>
      <c r="D5" s="292"/>
      <c r="E5" s="292" t="str">
        <f>cover!E8</f>
        <v>2010-11</v>
      </c>
      <c r="F5" s="292"/>
      <c r="G5" s="292" t="str">
        <f>cover!G8</f>
        <v>2011 -12</v>
      </c>
      <c r="H5" s="292"/>
      <c r="I5" s="292" t="str">
        <f>cover!I8</f>
        <v>2012 -13</v>
      </c>
      <c r="J5" s="293"/>
      <c r="K5" s="294" t="str">
        <f>cover!K8</f>
        <v>FY12/FY13</v>
      </c>
    </row>
    <row r="6" spans="1:11" x14ac:dyDescent="0.2">
      <c r="A6" s="2" t="s">
        <v>19</v>
      </c>
      <c r="J6" s="146"/>
      <c r="K6" s="253"/>
    </row>
    <row r="7" spans="1:11" x14ac:dyDescent="0.2">
      <c r="B7" s="13" t="s">
        <v>293</v>
      </c>
      <c r="C7" s="80">
        <v>1600</v>
      </c>
      <c r="D7" s="115"/>
      <c r="E7" s="116">
        <v>2486</v>
      </c>
      <c r="F7" s="115"/>
      <c r="G7" s="80">
        <v>1790</v>
      </c>
      <c r="H7" s="71"/>
      <c r="I7" s="80">
        <f>1790*1.03</f>
        <v>1843.7</v>
      </c>
      <c r="J7" s="146"/>
      <c r="K7" s="270">
        <f>+(I7-G7)/G7</f>
        <v>3.0000000000000027E-2</v>
      </c>
    </row>
    <row r="8" spans="1:11" x14ac:dyDescent="0.2">
      <c r="B8" s="12" t="s">
        <v>20</v>
      </c>
      <c r="C8" s="166">
        <f>SUM(C7)</f>
        <v>1600</v>
      </c>
      <c r="D8" s="115"/>
      <c r="E8" s="167">
        <f>SUM(E7)</f>
        <v>2486</v>
      </c>
      <c r="F8" s="115"/>
      <c r="G8" s="166">
        <f>SUM(G7)</f>
        <v>1790</v>
      </c>
      <c r="H8" s="71"/>
      <c r="I8" s="166">
        <f>SUM(I7)</f>
        <v>1843.7</v>
      </c>
      <c r="J8" s="146"/>
      <c r="K8" s="272">
        <f>+(I8-G8)/G8</f>
        <v>3.0000000000000027E-2</v>
      </c>
    </row>
    <row r="9" spans="1:11" ht="13.5" customHeight="1" x14ac:dyDescent="0.2">
      <c r="G9" s="43"/>
      <c r="H9" s="43"/>
      <c r="I9" s="43"/>
      <c r="J9" s="146"/>
      <c r="K9" s="253"/>
    </row>
    <row r="10" spans="1:11" hidden="1" x14ac:dyDescent="0.2">
      <c r="G10" s="43"/>
      <c r="H10" s="43"/>
      <c r="I10" s="43"/>
      <c r="J10" s="146"/>
      <c r="K10" s="253"/>
    </row>
    <row r="11" spans="1:11" hidden="1" x14ac:dyDescent="0.2">
      <c r="A11" s="2" t="s">
        <v>37</v>
      </c>
      <c r="G11" s="43"/>
      <c r="H11" s="43"/>
      <c r="I11" s="43"/>
      <c r="J11" s="146"/>
      <c r="K11" s="253"/>
    </row>
    <row r="12" spans="1:11" hidden="1" x14ac:dyDescent="0.2">
      <c r="B12" s="2" t="s">
        <v>21</v>
      </c>
      <c r="G12" s="43"/>
      <c r="H12" s="43"/>
      <c r="I12" s="43"/>
      <c r="J12" s="146"/>
      <c r="K12" s="253"/>
    </row>
    <row r="13" spans="1:11" hidden="1" x14ac:dyDescent="0.2">
      <c r="B13" s="2" t="s">
        <v>55</v>
      </c>
      <c r="G13" s="43"/>
      <c r="H13" s="43"/>
      <c r="I13" s="43"/>
      <c r="J13" s="146"/>
      <c r="K13" s="253"/>
    </row>
    <row r="14" spans="1:11" hidden="1" x14ac:dyDescent="0.2">
      <c r="B14" s="2" t="s">
        <v>56</v>
      </c>
      <c r="G14" s="43"/>
      <c r="H14" s="43"/>
      <c r="I14" s="43"/>
      <c r="J14" s="146"/>
      <c r="K14" s="253"/>
    </row>
    <row r="15" spans="1:11" hidden="1" x14ac:dyDescent="0.2">
      <c r="B15" s="12" t="s">
        <v>23</v>
      </c>
      <c r="C15" s="41">
        <f>SUM(C12:C14)</f>
        <v>0</v>
      </c>
      <c r="E15" s="41"/>
      <c r="G15" s="74"/>
      <c r="H15" s="43"/>
      <c r="I15" s="74"/>
      <c r="J15" s="146"/>
      <c r="K15" s="253"/>
    </row>
    <row r="16" spans="1:11" hidden="1" x14ac:dyDescent="0.2">
      <c r="G16" s="43"/>
      <c r="H16" s="43"/>
      <c r="I16" s="43"/>
      <c r="J16" s="146"/>
      <c r="K16" s="253"/>
    </row>
    <row r="17" spans="1:11" hidden="1" x14ac:dyDescent="0.2">
      <c r="A17" s="2" t="s">
        <v>24</v>
      </c>
      <c r="G17" s="43"/>
      <c r="H17" s="43"/>
      <c r="I17" s="43"/>
      <c r="J17" s="146"/>
      <c r="K17" s="253"/>
    </row>
    <row r="18" spans="1:11" hidden="1" x14ac:dyDescent="0.2">
      <c r="A18" s="100"/>
      <c r="B18" s="2" t="s">
        <v>53</v>
      </c>
      <c r="C18" s="25"/>
      <c r="E18" s="25"/>
      <c r="G18" s="75"/>
      <c r="H18" s="43"/>
      <c r="I18" s="75"/>
      <c r="J18" s="146"/>
      <c r="K18" s="253"/>
    </row>
    <row r="19" spans="1:11" x14ac:dyDescent="0.2">
      <c r="A19" s="2" t="s">
        <v>37</v>
      </c>
      <c r="G19" s="43"/>
      <c r="H19" s="43"/>
      <c r="I19" s="43"/>
      <c r="J19" s="146"/>
      <c r="K19" s="253"/>
    </row>
    <row r="20" spans="1:11" hidden="1" x14ac:dyDescent="0.2">
      <c r="A20" s="258"/>
      <c r="B20" s="258" t="s">
        <v>174</v>
      </c>
      <c r="C20" s="262">
        <v>0</v>
      </c>
      <c r="D20" s="263"/>
      <c r="E20" s="263"/>
      <c r="F20" s="263"/>
      <c r="G20" s="262">
        <v>0</v>
      </c>
      <c r="H20" s="262"/>
      <c r="I20" s="262">
        <v>0</v>
      </c>
      <c r="J20" s="268"/>
      <c r="K20" s="264"/>
    </row>
    <row r="21" spans="1:11" x14ac:dyDescent="0.2">
      <c r="B21" s="2" t="s">
        <v>285</v>
      </c>
      <c r="C21" s="43">
        <v>0</v>
      </c>
      <c r="E21" s="26">
        <v>215</v>
      </c>
      <c r="G21" s="43">
        <v>0</v>
      </c>
      <c r="H21" s="43"/>
      <c r="I21" s="43">
        <v>0</v>
      </c>
      <c r="J21" s="146"/>
      <c r="K21" s="270">
        <v>0</v>
      </c>
    </row>
    <row r="22" spans="1:11" x14ac:dyDescent="0.2">
      <c r="B22" s="2" t="s">
        <v>172</v>
      </c>
      <c r="C22" s="75">
        <v>4397</v>
      </c>
      <c r="E22" s="25">
        <v>1972.98</v>
      </c>
      <c r="G22" s="75">
        <v>4397</v>
      </c>
      <c r="H22" s="43"/>
      <c r="I22" s="75">
        <f>+G22+(G22*0.03)</f>
        <v>4528.91</v>
      </c>
      <c r="J22" s="146"/>
      <c r="K22" s="270">
        <f>+(I22-G22)/G22</f>
        <v>2.9999999999999968E-2</v>
      </c>
    </row>
    <row r="23" spans="1:11" x14ac:dyDescent="0.2">
      <c r="B23" s="12" t="s">
        <v>23</v>
      </c>
      <c r="C23" s="74">
        <f>SUM(C20:C22)</f>
        <v>4397</v>
      </c>
      <c r="E23" s="41">
        <f>SUM(E20:E22)</f>
        <v>2187.98</v>
      </c>
      <c r="G23" s="74">
        <f>SUM(G20:G22)</f>
        <v>4397</v>
      </c>
      <c r="H23" s="43"/>
      <c r="I23" s="74">
        <f>SUM(I20:I22)</f>
        <v>4528.91</v>
      </c>
      <c r="J23" s="146"/>
      <c r="K23" s="272">
        <f>+(I23-G23)/G23</f>
        <v>2.9999999999999968E-2</v>
      </c>
    </row>
    <row r="24" spans="1:11" x14ac:dyDescent="0.2">
      <c r="B24" s="12"/>
      <c r="C24" s="43"/>
      <c r="G24" s="43"/>
      <c r="H24" s="43"/>
      <c r="I24" s="43"/>
      <c r="J24" s="146"/>
      <c r="K24" s="253"/>
    </row>
    <row r="25" spans="1:11" x14ac:dyDescent="0.2">
      <c r="A25" s="2" t="s">
        <v>24</v>
      </c>
      <c r="G25" s="43"/>
      <c r="H25" s="43"/>
      <c r="I25" s="43"/>
      <c r="J25" s="146"/>
      <c r="K25" s="253"/>
    </row>
    <row r="26" spans="1:11" x14ac:dyDescent="0.2">
      <c r="A26" s="100"/>
      <c r="B26" s="2" t="s">
        <v>175</v>
      </c>
      <c r="C26" s="75">
        <v>161</v>
      </c>
      <c r="E26" s="25">
        <v>98.76</v>
      </c>
      <c r="G26" s="75">
        <v>161</v>
      </c>
      <c r="H26" s="43"/>
      <c r="I26" s="75">
        <f>+I22*0.03</f>
        <v>135.8673</v>
      </c>
      <c r="J26" s="146"/>
      <c r="K26" s="270">
        <f>+(I26-G26)/G26</f>
        <v>-0.15610372670807454</v>
      </c>
    </row>
    <row r="27" spans="1:11" x14ac:dyDescent="0.2">
      <c r="A27" s="100"/>
      <c r="B27" s="12" t="s">
        <v>38</v>
      </c>
      <c r="C27" s="74">
        <f>SUM(C26)</f>
        <v>161</v>
      </c>
      <c r="E27" s="41">
        <f>SUM(E26)</f>
        <v>98.76</v>
      </c>
      <c r="G27" s="74">
        <f>SUM(G26)</f>
        <v>161</v>
      </c>
      <c r="H27" s="43"/>
      <c r="I27" s="74">
        <f>SUM(I26)</f>
        <v>135.8673</v>
      </c>
      <c r="J27" s="146"/>
      <c r="K27" s="272">
        <f>+(I27-G27)/G27</f>
        <v>-0.15610372670807454</v>
      </c>
    </row>
    <row r="28" spans="1:11" x14ac:dyDescent="0.2">
      <c r="A28" s="100"/>
      <c r="G28" s="43"/>
      <c r="H28" s="43"/>
      <c r="I28" s="43"/>
      <c r="J28" s="146"/>
      <c r="K28" s="253"/>
    </row>
    <row r="29" spans="1:11" x14ac:dyDescent="0.2">
      <c r="A29" s="2" t="s">
        <v>27</v>
      </c>
      <c r="G29" s="43"/>
      <c r="H29" s="43"/>
      <c r="I29" s="43"/>
      <c r="J29" s="146"/>
      <c r="K29" s="253"/>
    </row>
    <row r="30" spans="1:11" x14ac:dyDescent="0.2">
      <c r="A30" s="100"/>
      <c r="B30" s="13" t="s">
        <v>199</v>
      </c>
      <c r="C30" s="43">
        <v>435</v>
      </c>
      <c r="E30" s="26">
        <v>434.93</v>
      </c>
      <c r="G30" s="43">
        <v>435</v>
      </c>
      <c r="H30" s="43"/>
      <c r="I30" s="43">
        <v>444</v>
      </c>
      <c r="J30" s="146"/>
      <c r="K30" s="270">
        <f t="shared" ref="K30:K38" si="0">+(I30-G30)/G30</f>
        <v>2.0689655172413793E-2</v>
      </c>
    </row>
    <row r="31" spans="1:11" x14ac:dyDescent="0.2">
      <c r="B31" s="13" t="s">
        <v>294</v>
      </c>
      <c r="C31" s="43">
        <v>1639</v>
      </c>
      <c r="E31" s="26">
        <v>4.5</v>
      </c>
      <c r="G31" s="43">
        <v>1639</v>
      </c>
      <c r="H31" s="43"/>
      <c r="I31" s="43">
        <v>672</v>
      </c>
      <c r="J31" s="146"/>
      <c r="K31" s="270">
        <f t="shared" si="0"/>
        <v>-0.58999389871873098</v>
      </c>
    </row>
    <row r="32" spans="1:11" hidden="1" x14ac:dyDescent="0.2">
      <c r="A32" s="258"/>
      <c r="B32" s="258" t="s">
        <v>28</v>
      </c>
      <c r="C32" s="262"/>
      <c r="D32" s="263"/>
      <c r="E32" s="263"/>
      <c r="F32" s="263"/>
      <c r="G32" s="262"/>
      <c r="H32" s="262"/>
      <c r="I32" s="262"/>
      <c r="J32" s="268"/>
      <c r="K32" s="261" t="e">
        <f t="shared" si="0"/>
        <v>#DIV/0!</v>
      </c>
    </row>
    <row r="33" spans="1:11" x14ac:dyDescent="0.2">
      <c r="B33" s="2" t="s">
        <v>296</v>
      </c>
      <c r="C33" s="43">
        <v>545</v>
      </c>
      <c r="E33" s="26">
        <v>0</v>
      </c>
      <c r="G33" s="43">
        <v>545</v>
      </c>
      <c r="H33" s="43"/>
      <c r="I33" s="43">
        <v>545</v>
      </c>
      <c r="J33" s="146"/>
      <c r="K33" s="270">
        <f t="shared" si="0"/>
        <v>0</v>
      </c>
    </row>
    <row r="34" spans="1:11" x14ac:dyDescent="0.2">
      <c r="B34" s="13" t="s">
        <v>297</v>
      </c>
      <c r="C34" s="43">
        <v>329</v>
      </c>
      <c r="E34" s="26">
        <v>0</v>
      </c>
      <c r="G34" s="43">
        <v>329</v>
      </c>
      <c r="H34" s="43"/>
      <c r="I34" s="43">
        <v>0</v>
      </c>
      <c r="J34" s="146"/>
      <c r="K34" s="270">
        <f t="shared" si="0"/>
        <v>-1</v>
      </c>
    </row>
    <row r="35" spans="1:11" hidden="1" x14ac:dyDescent="0.2">
      <c r="B35" s="13" t="s">
        <v>61</v>
      </c>
      <c r="C35" s="43"/>
      <c r="G35" s="43"/>
      <c r="H35" s="43"/>
      <c r="I35" s="43"/>
      <c r="J35" s="146"/>
      <c r="K35" s="270" t="e">
        <f t="shared" si="0"/>
        <v>#DIV/0!</v>
      </c>
    </row>
    <row r="36" spans="1:11" x14ac:dyDescent="0.2">
      <c r="B36" s="13" t="s">
        <v>298</v>
      </c>
      <c r="C36" s="43">
        <v>1635</v>
      </c>
      <c r="E36" s="26">
        <v>40.5</v>
      </c>
      <c r="G36" s="43">
        <v>1635</v>
      </c>
      <c r="H36" s="43"/>
      <c r="I36" s="43">
        <v>668</v>
      </c>
      <c r="J36" s="146"/>
      <c r="K36" s="270">
        <f t="shared" si="0"/>
        <v>-0.59143730886850154</v>
      </c>
    </row>
    <row r="37" spans="1:11" x14ac:dyDescent="0.2">
      <c r="B37" s="13" t="s">
        <v>183</v>
      </c>
      <c r="C37" s="43">
        <v>59</v>
      </c>
      <c r="E37" s="26">
        <v>0</v>
      </c>
      <c r="G37" s="43">
        <v>59</v>
      </c>
      <c r="H37" s="43"/>
      <c r="I37" s="43">
        <v>59</v>
      </c>
      <c r="J37" s="146"/>
      <c r="K37" s="270">
        <f t="shared" si="0"/>
        <v>0</v>
      </c>
    </row>
    <row r="38" spans="1:11" x14ac:dyDescent="0.2">
      <c r="B38" s="13" t="s">
        <v>299</v>
      </c>
      <c r="C38" s="43">
        <v>271</v>
      </c>
      <c r="E38" s="26">
        <v>0</v>
      </c>
      <c r="G38" s="43">
        <v>271</v>
      </c>
      <c r="H38" s="43"/>
      <c r="I38" s="43">
        <v>271</v>
      </c>
      <c r="J38" s="146"/>
      <c r="K38" s="270">
        <f t="shared" si="0"/>
        <v>0</v>
      </c>
    </row>
    <row r="39" spans="1:11" x14ac:dyDescent="0.2">
      <c r="B39" s="2" t="s">
        <v>295</v>
      </c>
      <c r="C39" s="43">
        <v>0</v>
      </c>
      <c r="E39" s="26">
        <v>238.33</v>
      </c>
      <c r="G39" s="43">
        <v>0</v>
      </c>
      <c r="H39" s="43"/>
      <c r="I39" s="43">
        <v>240</v>
      </c>
      <c r="J39" s="146"/>
      <c r="K39" s="270">
        <v>1</v>
      </c>
    </row>
    <row r="40" spans="1:11" x14ac:dyDescent="0.2">
      <c r="B40" s="2" t="s">
        <v>310</v>
      </c>
      <c r="C40" s="43">
        <v>0</v>
      </c>
      <c r="E40" s="26">
        <v>2232</v>
      </c>
      <c r="G40" s="43">
        <v>0</v>
      </c>
      <c r="H40" s="43"/>
      <c r="I40" s="43">
        <v>2232</v>
      </c>
      <c r="J40" s="146"/>
      <c r="K40" s="270">
        <v>1</v>
      </c>
    </row>
    <row r="41" spans="1:11" x14ac:dyDescent="0.2">
      <c r="B41" s="12" t="s">
        <v>76</v>
      </c>
      <c r="C41" s="74">
        <f>SUM(C30:C40)</f>
        <v>4913</v>
      </c>
      <c r="E41" s="41">
        <f>SUM(E30:E40)</f>
        <v>2950.26</v>
      </c>
      <c r="G41" s="74">
        <f>SUM(G30:G40)</f>
        <v>4913</v>
      </c>
      <c r="H41" s="43"/>
      <c r="I41" s="74">
        <f>SUM(I30:I40)</f>
        <v>5131</v>
      </c>
      <c r="J41" s="146"/>
      <c r="K41" s="272">
        <f>+(I41-G41)/G41</f>
        <v>4.4372074089151232E-2</v>
      </c>
    </row>
    <row r="42" spans="1:11" x14ac:dyDescent="0.2">
      <c r="G42" s="43"/>
      <c r="H42" s="43"/>
      <c r="I42" s="43"/>
      <c r="J42" s="146"/>
      <c r="K42" s="270"/>
    </row>
    <row r="43" spans="1:11" x14ac:dyDescent="0.2">
      <c r="B43" s="2" t="s">
        <v>33</v>
      </c>
      <c r="C43" s="75">
        <f>SUM(C23+C26+C41)</f>
        <v>9471</v>
      </c>
      <c r="E43" s="162">
        <f>SUM(E23+E27+E41)</f>
        <v>5237</v>
      </c>
      <c r="G43" s="75">
        <f>SUM(G23+G26+G41)</f>
        <v>9471</v>
      </c>
      <c r="I43" s="25">
        <f>SUM(I23+I26+I41)</f>
        <v>9795.7772999999997</v>
      </c>
      <c r="J43" s="146"/>
      <c r="K43" s="274">
        <f t="shared" ref="K43" si="1">+(I43-G43)/G43</f>
        <v>3.4291764333227719E-2</v>
      </c>
    </row>
    <row r="44" spans="1:11" x14ac:dyDescent="0.2">
      <c r="G44" s="43"/>
      <c r="H44" s="43"/>
      <c r="I44" s="43"/>
      <c r="J44" s="146"/>
      <c r="K44" s="270"/>
    </row>
    <row r="45" spans="1:11" ht="13.5" thickBot="1" x14ac:dyDescent="0.25">
      <c r="B45" s="2" t="s">
        <v>52</v>
      </c>
      <c r="C45" s="224">
        <f>C7-C23-C26-C41</f>
        <v>-7871</v>
      </c>
      <c r="E45" s="225">
        <f>E7-E23-E26-E41</f>
        <v>-2751</v>
      </c>
      <c r="G45" s="224">
        <f>G7-G23-G26-G41</f>
        <v>-7681</v>
      </c>
      <c r="I45" s="223">
        <f>I7-I23-I26-I41</f>
        <v>-7952.0772999999999</v>
      </c>
      <c r="J45" s="146"/>
      <c r="K45" s="277">
        <f t="shared" ref="K45" si="2">+(I45-G45)/G45</f>
        <v>3.5291928134357498E-2</v>
      </c>
    </row>
    <row r="46" spans="1:11" ht="13.5" thickTop="1" x14ac:dyDescent="0.2">
      <c r="G46" s="77"/>
      <c r="H46" s="77"/>
      <c r="I46" s="77"/>
      <c r="J46" s="37"/>
    </row>
    <row r="47" spans="1:11" x14ac:dyDescent="0.2">
      <c r="A47"/>
      <c r="B47" s="12"/>
      <c r="G47" s="77"/>
      <c r="H47" s="77"/>
      <c r="I47" s="77"/>
      <c r="J47" s="37"/>
    </row>
    <row r="48" spans="1:11" x14ac:dyDescent="0.2">
      <c r="B48" s="12"/>
      <c r="C48" s="44"/>
      <c r="D48" s="44"/>
      <c r="E48" s="44"/>
      <c r="F48" s="44"/>
      <c r="G48" s="43"/>
      <c r="H48" s="43"/>
      <c r="I48" s="43"/>
      <c r="J48" s="37"/>
    </row>
    <row r="49" spans="1:10" x14ac:dyDescent="0.2">
      <c r="B49" s="37"/>
      <c r="C49" s="37"/>
      <c r="D49" s="37"/>
      <c r="E49" s="37"/>
      <c r="F49" s="37"/>
      <c r="G49" s="37"/>
      <c r="H49" s="37"/>
      <c r="I49" s="37"/>
      <c r="J49" s="37"/>
    </row>
    <row r="50" spans="1:10" x14ac:dyDescent="0.2">
      <c r="B50" s="37"/>
      <c r="C50" s="37"/>
      <c r="D50" s="37"/>
      <c r="E50" s="37"/>
      <c r="F50" s="37"/>
      <c r="G50" s="37"/>
      <c r="H50" s="37"/>
      <c r="I50" s="37"/>
      <c r="J50" s="37"/>
    </row>
    <row r="51" spans="1:10" x14ac:dyDescent="0.2">
      <c r="A51"/>
      <c r="B51" s="37"/>
      <c r="C51" s="37"/>
      <c r="D51" s="37"/>
      <c r="E51" s="37"/>
      <c r="F51" s="37"/>
      <c r="G51" s="37"/>
      <c r="H51" s="37"/>
      <c r="I51" s="37"/>
      <c r="J51" s="37"/>
    </row>
    <row r="52" spans="1:10" x14ac:dyDescent="0.2">
      <c r="A52"/>
      <c r="B52"/>
      <c r="C52"/>
      <c r="D52"/>
      <c r="E52"/>
      <c r="F52"/>
      <c r="G52"/>
      <c r="H52"/>
      <c r="I52"/>
    </row>
    <row r="53" spans="1:10" x14ac:dyDescent="0.2">
      <c r="A53"/>
      <c r="B53"/>
      <c r="C53"/>
      <c r="D53"/>
      <c r="E53"/>
      <c r="F53"/>
      <c r="G53"/>
      <c r="H53"/>
      <c r="I53"/>
    </row>
    <row r="54" spans="1:10" x14ac:dyDescent="0.2">
      <c r="A54"/>
      <c r="B54"/>
      <c r="C54"/>
      <c r="D54"/>
      <c r="E54"/>
      <c r="F54"/>
      <c r="G54"/>
      <c r="H54"/>
      <c r="I54"/>
    </row>
    <row r="55" spans="1:10" x14ac:dyDescent="0.2">
      <c r="A55"/>
      <c r="B55"/>
      <c r="C55"/>
      <c r="D55"/>
      <c r="E55"/>
      <c r="F55"/>
      <c r="G55"/>
      <c r="H55"/>
      <c r="I55"/>
    </row>
    <row r="56" spans="1:10" x14ac:dyDescent="0.2">
      <c r="A56"/>
      <c r="B56"/>
      <c r="C56"/>
      <c r="D56"/>
      <c r="E56"/>
      <c r="F56"/>
      <c r="G56"/>
      <c r="H56"/>
      <c r="I56"/>
    </row>
    <row r="57" spans="1:10" x14ac:dyDescent="0.2">
      <c r="A57"/>
      <c r="B57"/>
      <c r="C57"/>
      <c r="D57"/>
      <c r="E57"/>
      <c r="F57"/>
      <c r="G57"/>
      <c r="H57"/>
      <c r="I57"/>
    </row>
    <row r="58" spans="1:10" x14ac:dyDescent="0.2">
      <c r="A58"/>
      <c r="B58"/>
      <c r="C58"/>
      <c r="D58"/>
      <c r="E58"/>
      <c r="F58"/>
      <c r="G58"/>
      <c r="H58"/>
      <c r="I58"/>
    </row>
    <row r="59" spans="1:10" x14ac:dyDescent="0.2">
      <c r="A59"/>
      <c r="B59"/>
      <c r="C59"/>
      <c r="D59"/>
      <c r="E59"/>
      <c r="F59"/>
      <c r="G59"/>
      <c r="H59"/>
      <c r="I59"/>
    </row>
    <row r="60" spans="1:10" x14ac:dyDescent="0.2">
      <c r="A60"/>
      <c r="B60"/>
      <c r="C60"/>
      <c r="D60"/>
      <c r="E60"/>
      <c r="F60"/>
      <c r="G60"/>
      <c r="H60"/>
      <c r="I60"/>
    </row>
    <row r="61" spans="1:10" x14ac:dyDescent="0.2">
      <c r="A61"/>
      <c r="B61"/>
      <c r="C61"/>
      <c r="D61"/>
      <c r="E61"/>
      <c r="F61"/>
      <c r="G61"/>
      <c r="H61"/>
      <c r="I61"/>
    </row>
    <row r="62" spans="1:10" x14ac:dyDescent="0.2">
      <c r="A62"/>
      <c r="B62"/>
      <c r="C62"/>
      <c r="D62"/>
      <c r="E62"/>
      <c r="F62"/>
      <c r="G62"/>
      <c r="H62"/>
      <c r="I62"/>
    </row>
    <row r="63" spans="1:10" x14ac:dyDescent="0.2">
      <c r="A63"/>
      <c r="B63"/>
      <c r="C63"/>
      <c r="D63"/>
      <c r="E63"/>
      <c r="F63"/>
      <c r="G63"/>
      <c r="H63"/>
      <c r="I63"/>
    </row>
    <row r="64" spans="1:10" x14ac:dyDescent="0.2">
      <c r="A64"/>
      <c r="B64"/>
      <c r="C64"/>
      <c r="D64"/>
      <c r="E64"/>
      <c r="F64"/>
      <c r="G64"/>
      <c r="H64"/>
      <c r="I64"/>
    </row>
    <row r="65" spans="1:9" x14ac:dyDescent="0.2">
      <c r="A65"/>
      <c r="B65"/>
      <c r="C65"/>
      <c r="D65"/>
      <c r="E65"/>
      <c r="F65"/>
      <c r="G65"/>
      <c r="H65"/>
      <c r="I65"/>
    </row>
    <row r="66" spans="1:9" x14ac:dyDescent="0.2">
      <c r="A66"/>
      <c r="B66"/>
      <c r="C66"/>
      <c r="D66"/>
      <c r="E66"/>
      <c r="F66"/>
      <c r="G66"/>
      <c r="H66"/>
      <c r="I66"/>
    </row>
    <row r="67" spans="1:9" x14ac:dyDescent="0.2">
      <c r="A67"/>
      <c r="B67"/>
      <c r="C67"/>
      <c r="D67"/>
      <c r="E67"/>
      <c r="F67"/>
      <c r="G67"/>
      <c r="H67"/>
      <c r="I67"/>
    </row>
    <row r="68" spans="1:9" x14ac:dyDescent="0.2">
      <c r="A68"/>
      <c r="B68"/>
      <c r="C68"/>
      <c r="D68"/>
      <c r="E68"/>
      <c r="F68"/>
      <c r="G68"/>
      <c r="H68"/>
      <c r="I68"/>
    </row>
    <row r="69" spans="1:9" x14ac:dyDescent="0.2">
      <c r="A69"/>
      <c r="B69"/>
      <c r="C69"/>
      <c r="D69"/>
      <c r="E69"/>
      <c r="F69"/>
      <c r="G69"/>
      <c r="H69"/>
      <c r="I69"/>
    </row>
    <row r="70" spans="1:9" x14ac:dyDescent="0.2">
      <c r="A70"/>
      <c r="B70"/>
      <c r="C70"/>
      <c r="D70"/>
      <c r="E70"/>
      <c r="F70"/>
      <c r="G70"/>
      <c r="H70"/>
      <c r="I70"/>
    </row>
    <row r="71" spans="1:9" x14ac:dyDescent="0.2">
      <c r="A71"/>
      <c r="B71"/>
      <c r="C71"/>
      <c r="D71"/>
      <c r="E71"/>
      <c r="F71"/>
      <c r="G71"/>
      <c r="H71"/>
      <c r="I71"/>
    </row>
    <row r="72" spans="1:9" x14ac:dyDescent="0.2">
      <c r="A72"/>
      <c r="B72"/>
      <c r="C72"/>
      <c r="D72"/>
      <c r="E72"/>
      <c r="F72"/>
      <c r="G72"/>
      <c r="H72"/>
      <c r="I72"/>
    </row>
    <row r="73" spans="1:9" x14ac:dyDescent="0.2">
      <c r="A73"/>
      <c r="B73"/>
      <c r="C73"/>
      <c r="D73"/>
      <c r="E73"/>
      <c r="F73"/>
      <c r="G73"/>
      <c r="H73"/>
      <c r="I73"/>
    </row>
    <row r="74" spans="1:9" x14ac:dyDescent="0.2">
      <c r="A74"/>
      <c r="B74"/>
      <c r="C74"/>
      <c r="D74"/>
      <c r="E74"/>
      <c r="F74"/>
      <c r="G74"/>
      <c r="H74"/>
      <c r="I74"/>
    </row>
    <row r="75" spans="1:9" x14ac:dyDescent="0.2">
      <c r="A75"/>
      <c r="B75"/>
      <c r="C75"/>
      <c r="D75"/>
      <c r="E75"/>
      <c r="F75"/>
      <c r="G75"/>
      <c r="H75"/>
      <c r="I75"/>
    </row>
    <row r="76" spans="1:9" x14ac:dyDescent="0.2">
      <c r="A76"/>
      <c r="B76"/>
      <c r="C76"/>
      <c r="D76"/>
      <c r="E76"/>
      <c r="F76"/>
      <c r="G76"/>
      <c r="H76"/>
      <c r="I76"/>
    </row>
    <row r="77" spans="1:9" x14ac:dyDescent="0.2">
      <c r="A77"/>
      <c r="B77"/>
      <c r="C77"/>
      <c r="D77"/>
      <c r="E77"/>
      <c r="F77"/>
      <c r="G77"/>
      <c r="H77"/>
      <c r="I77"/>
    </row>
    <row r="78" spans="1:9" x14ac:dyDescent="0.2">
      <c r="A78"/>
      <c r="B78"/>
      <c r="C78"/>
      <c r="D78"/>
      <c r="E78"/>
      <c r="F78"/>
      <c r="G78"/>
      <c r="H78"/>
      <c r="I78"/>
    </row>
    <row r="79" spans="1:9" x14ac:dyDescent="0.2">
      <c r="A79"/>
      <c r="B79"/>
      <c r="C79"/>
      <c r="D79"/>
      <c r="E79"/>
      <c r="F79"/>
      <c r="G79"/>
      <c r="H79"/>
      <c r="I79"/>
    </row>
    <row r="80" spans="1:9" x14ac:dyDescent="0.2">
      <c r="A80"/>
      <c r="B80"/>
      <c r="C80"/>
      <c r="D80"/>
      <c r="E80"/>
      <c r="F80"/>
      <c r="G80"/>
      <c r="H80"/>
      <c r="I80"/>
    </row>
    <row r="81" spans="1:9" x14ac:dyDescent="0.2">
      <c r="A81"/>
      <c r="B81"/>
      <c r="C81"/>
      <c r="D81"/>
      <c r="E81"/>
      <c r="F81"/>
      <c r="G81"/>
      <c r="H81"/>
      <c r="I81"/>
    </row>
    <row r="82" spans="1:9" x14ac:dyDescent="0.2">
      <c r="A82"/>
      <c r="B82"/>
      <c r="C82"/>
      <c r="D82"/>
      <c r="E82"/>
      <c r="F82"/>
      <c r="G82"/>
      <c r="H82"/>
      <c r="I82"/>
    </row>
    <row r="83" spans="1:9" x14ac:dyDescent="0.2">
      <c r="A83"/>
      <c r="B83"/>
      <c r="C83"/>
      <c r="D83"/>
      <c r="E83"/>
      <c r="F83"/>
      <c r="G83"/>
      <c r="H83"/>
      <c r="I83"/>
    </row>
    <row r="84" spans="1:9" x14ac:dyDescent="0.2">
      <c r="A84"/>
      <c r="B84"/>
      <c r="C84"/>
      <c r="D84"/>
      <c r="E84"/>
      <c r="F84"/>
      <c r="G84"/>
      <c r="H84"/>
      <c r="I84"/>
    </row>
    <row r="85" spans="1:9" x14ac:dyDescent="0.2">
      <c r="A85"/>
      <c r="B85"/>
      <c r="C85"/>
      <c r="D85"/>
      <c r="E85"/>
      <c r="F85"/>
      <c r="G85"/>
      <c r="H85"/>
      <c r="I85"/>
    </row>
    <row r="86" spans="1:9" x14ac:dyDescent="0.2">
      <c r="A86"/>
      <c r="B86"/>
      <c r="C86"/>
      <c r="D86"/>
      <c r="E86"/>
      <c r="F86"/>
      <c r="G86"/>
      <c r="H86"/>
      <c r="I86"/>
    </row>
    <row r="87" spans="1:9" x14ac:dyDescent="0.2">
      <c r="A87"/>
      <c r="B87"/>
      <c r="C87"/>
      <c r="D87"/>
      <c r="E87"/>
      <c r="F87"/>
      <c r="G87"/>
      <c r="H87"/>
      <c r="I87"/>
    </row>
    <row r="88" spans="1:9" x14ac:dyDescent="0.2">
      <c r="A88"/>
      <c r="B88"/>
      <c r="C88"/>
      <c r="D88"/>
      <c r="E88"/>
      <c r="F88"/>
      <c r="G88"/>
      <c r="H88"/>
      <c r="I88"/>
    </row>
    <row r="89" spans="1:9" x14ac:dyDescent="0.2">
      <c r="A89"/>
      <c r="B89"/>
      <c r="C89"/>
      <c r="D89"/>
      <c r="E89"/>
      <c r="F89"/>
      <c r="G89"/>
      <c r="H89"/>
      <c r="I89"/>
    </row>
    <row r="90" spans="1:9" x14ac:dyDescent="0.2">
      <c r="A90"/>
      <c r="B90"/>
      <c r="C90"/>
      <c r="D90"/>
      <c r="E90"/>
      <c r="F90"/>
      <c r="G90"/>
      <c r="H90"/>
      <c r="I90"/>
    </row>
    <row r="91" spans="1:9" x14ac:dyDescent="0.2">
      <c r="A91"/>
      <c r="B91"/>
      <c r="C91"/>
      <c r="D91"/>
      <c r="E91"/>
      <c r="F91"/>
      <c r="G91"/>
      <c r="H91"/>
      <c r="I91"/>
    </row>
    <row r="92" spans="1:9" x14ac:dyDescent="0.2">
      <c r="A92"/>
      <c r="B92"/>
      <c r="C92"/>
      <c r="D92"/>
      <c r="E92"/>
      <c r="F92"/>
      <c r="G92"/>
      <c r="H92"/>
      <c r="I92"/>
    </row>
    <row r="93" spans="1:9" x14ac:dyDescent="0.2">
      <c r="A93"/>
      <c r="B93"/>
      <c r="C93"/>
      <c r="D93"/>
      <c r="E93"/>
      <c r="F93"/>
      <c r="G93"/>
      <c r="H93"/>
      <c r="I93"/>
    </row>
    <row r="94" spans="1:9" x14ac:dyDescent="0.2">
      <c r="A94"/>
      <c r="B94"/>
      <c r="C94"/>
      <c r="D94"/>
      <c r="E94"/>
      <c r="F94"/>
      <c r="G94"/>
      <c r="H94"/>
      <c r="I94"/>
    </row>
    <row r="95" spans="1:9" x14ac:dyDescent="0.2">
      <c r="A95"/>
      <c r="B95"/>
      <c r="C95"/>
      <c r="D95"/>
      <c r="E95"/>
      <c r="F95"/>
      <c r="G95"/>
      <c r="H95"/>
      <c r="I95"/>
    </row>
    <row r="96" spans="1:9" x14ac:dyDescent="0.2">
      <c r="A96"/>
      <c r="B96"/>
      <c r="C96"/>
      <c r="D96"/>
      <c r="E96"/>
      <c r="F96"/>
      <c r="G96"/>
      <c r="H96"/>
      <c r="I96"/>
    </row>
    <row r="97" spans="1:9" x14ac:dyDescent="0.2">
      <c r="A97"/>
      <c r="B97"/>
      <c r="C97"/>
      <c r="D97"/>
      <c r="E97"/>
      <c r="F97"/>
      <c r="G97"/>
      <c r="H97"/>
      <c r="I97"/>
    </row>
    <row r="98" spans="1:9" x14ac:dyDescent="0.2">
      <c r="A98"/>
      <c r="B98"/>
      <c r="C98"/>
      <c r="D98"/>
      <c r="E98"/>
      <c r="F98"/>
      <c r="G98"/>
      <c r="H98"/>
      <c r="I98"/>
    </row>
    <row r="99" spans="1:9" x14ac:dyDescent="0.2">
      <c r="A99"/>
      <c r="B99"/>
      <c r="C99"/>
      <c r="D99"/>
      <c r="E99"/>
      <c r="F99"/>
      <c r="G99"/>
      <c r="H99"/>
      <c r="I99"/>
    </row>
    <row r="100" spans="1:9" x14ac:dyDescent="0.2">
      <c r="A100"/>
      <c r="B100"/>
      <c r="C100"/>
      <c r="D100"/>
      <c r="E100"/>
      <c r="F100"/>
      <c r="G100"/>
      <c r="H100"/>
      <c r="I100"/>
    </row>
    <row r="101" spans="1:9" x14ac:dyDescent="0.2">
      <c r="A101"/>
      <c r="B101"/>
      <c r="C101"/>
      <c r="D101"/>
      <c r="E101"/>
      <c r="F101"/>
      <c r="G101"/>
      <c r="H101"/>
      <c r="I101"/>
    </row>
    <row r="102" spans="1:9" x14ac:dyDescent="0.2">
      <c r="A102"/>
      <c r="B102"/>
      <c r="C102"/>
      <c r="D102"/>
      <c r="E102"/>
      <c r="F102"/>
      <c r="G102"/>
      <c r="H102"/>
      <c r="I102"/>
    </row>
    <row r="103" spans="1:9" x14ac:dyDescent="0.2">
      <c r="A103"/>
      <c r="B103"/>
      <c r="C103"/>
      <c r="D103"/>
      <c r="E103"/>
      <c r="F103"/>
      <c r="G103"/>
      <c r="H103"/>
      <c r="I103"/>
    </row>
    <row r="104" spans="1:9" x14ac:dyDescent="0.2">
      <c r="A104"/>
      <c r="B104"/>
      <c r="C104"/>
      <c r="D104"/>
      <c r="E104"/>
      <c r="F104"/>
      <c r="G104"/>
      <c r="H104"/>
      <c r="I104"/>
    </row>
    <row r="105" spans="1:9" x14ac:dyDescent="0.2">
      <c r="A105"/>
      <c r="B105"/>
      <c r="C105"/>
      <c r="D105"/>
      <c r="E105"/>
      <c r="F105"/>
      <c r="G105"/>
      <c r="H105"/>
      <c r="I105"/>
    </row>
    <row r="106" spans="1:9" x14ac:dyDescent="0.2">
      <c r="A106"/>
      <c r="B106"/>
      <c r="C106"/>
      <c r="D106"/>
      <c r="E106"/>
      <c r="F106"/>
      <c r="G106"/>
      <c r="H106"/>
      <c r="I106"/>
    </row>
    <row r="107" spans="1:9" x14ac:dyDescent="0.2">
      <c r="A107"/>
      <c r="B107"/>
      <c r="C107"/>
      <c r="D107"/>
      <c r="E107"/>
      <c r="F107"/>
      <c r="G107"/>
      <c r="H107"/>
      <c r="I107"/>
    </row>
    <row r="108" spans="1:9" x14ac:dyDescent="0.2">
      <c r="A108"/>
      <c r="B108"/>
      <c r="C108"/>
      <c r="D108"/>
      <c r="E108"/>
      <c r="F108"/>
      <c r="G108"/>
      <c r="H108"/>
      <c r="I108"/>
    </row>
    <row r="109" spans="1:9" x14ac:dyDescent="0.2">
      <c r="A109"/>
      <c r="B109"/>
      <c r="C109"/>
      <c r="D109"/>
      <c r="E109"/>
      <c r="F109"/>
      <c r="G109"/>
      <c r="H109"/>
      <c r="I109"/>
    </row>
    <row r="110" spans="1:9" x14ac:dyDescent="0.2">
      <c r="A110"/>
      <c r="B110"/>
      <c r="C110"/>
      <c r="D110"/>
      <c r="E110"/>
      <c r="F110"/>
      <c r="G110"/>
      <c r="H110"/>
      <c r="I110"/>
    </row>
    <row r="111" spans="1:9" x14ac:dyDescent="0.2">
      <c r="A111"/>
      <c r="B111"/>
      <c r="C111"/>
      <c r="D111"/>
      <c r="E111"/>
      <c r="F111"/>
      <c r="G111"/>
      <c r="H111"/>
      <c r="I111"/>
    </row>
    <row r="112" spans="1:9" x14ac:dyDescent="0.2">
      <c r="A112"/>
      <c r="B112"/>
      <c r="C112"/>
      <c r="D112"/>
      <c r="E112"/>
      <c r="F112"/>
      <c r="G112"/>
      <c r="H112"/>
      <c r="I112"/>
    </row>
    <row r="113" spans="1:9" x14ac:dyDescent="0.2">
      <c r="A113"/>
      <c r="B113"/>
      <c r="C113"/>
      <c r="D113"/>
      <c r="E113"/>
      <c r="F113"/>
      <c r="G113"/>
      <c r="H113"/>
      <c r="I113"/>
    </row>
    <row r="114" spans="1:9" x14ac:dyDescent="0.2">
      <c r="A114"/>
      <c r="B114"/>
      <c r="C114"/>
      <c r="D114"/>
      <c r="E114"/>
      <c r="F114"/>
      <c r="G114"/>
      <c r="H114"/>
      <c r="I114"/>
    </row>
    <row r="115" spans="1:9" x14ac:dyDescent="0.2">
      <c r="A115"/>
      <c r="B115"/>
      <c r="C115"/>
      <c r="D115"/>
      <c r="E115"/>
      <c r="F115"/>
      <c r="G115"/>
      <c r="H115"/>
      <c r="I115"/>
    </row>
    <row r="116" spans="1:9" x14ac:dyDescent="0.2">
      <c r="A116"/>
      <c r="B116"/>
      <c r="C116"/>
      <c r="D116"/>
      <c r="E116"/>
      <c r="F116"/>
      <c r="G116"/>
      <c r="H116"/>
      <c r="I116"/>
    </row>
    <row r="117" spans="1:9" x14ac:dyDescent="0.2">
      <c r="A117"/>
      <c r="B117"/>
      <c r="C117"/>
      <c r="D117"/>
      <c r="E117"/>
      <c r="F117"/>
      <c r="G117"/>
      <c r="H117"/>
      <c r="I117"/>
    </row>
    <row r="118" spans="1:9" x14ac:dyDescent="0.2">
      <c r="A118"/>
      <c r="B118"/>
      <c r="C118"/>
      <c r="D118"/>
      <c r="E118"/>
      <c r="F118"/>
      <c r="G118"/>
      <c r="H118"/>
      <c r="I118"/>
    </row>
    <row r="119" spans="1:9" x14ac:dyDescent="0.2">
      <c r="A119"/>
      <c r="B119"/>
      <c r="C119"/>
      <c r="D119"/>
      <c r="E119"/>
      <c r="F119"/>
      <c r="G119"/>
      <c r="H119"/>
      <c r="I119"/>
    </row>
    <row r="120" spans="1:9" x14ac:dyDescent="0.2">
      <c r="A120"/>
      <c r="B120"/>
      <c r="C120"/>
      <c r="D120"/>
      <c r="E120"/>
      <c r="F120"/>
      <c r="G120"/>
      <c r="H120"/>
      <c r="I120"/>
    </row>
    <row r="121" spans="1:9" x14ac:dyDescent="0.2">
      <c r="A121"/>
      <c r="B121"/>
      <c r="C121"/>
      <c r="D121"/>
      <c r="E121"/>
      <c r="F121"/>
      <c r="G121"/>
      <c r="H121"/>
      <c r="I121"/>
    </row>
    <row r="122" spans="1:9" x14ac:dyDescent="0.2">
      <c r="A122"/>
      <c r="B122"/>
      <c r="C122"/>
      <c r="D122"/>
      <c r="E122"/>
      <c r="F122"/>
      <c r="G122"/>
      <c r="H122"/>
      <c r="I122"/>
    </row>
    <row r="123" spans="1:9" x14ac:dyDescent="0.2">
      <c r="A123"/>
      <c r="B123"/>
      <c r="C123"/>
      <c r="D123"/>
      <c r="E123"/>
      <c r="F123"/>
      <c r="G123"/>
      <c r="H123"/>
      <c r="I123"/>
    </row>
    <row r="124" spans="1:9" x14ac:dyDescent="0.2">
      <c r="A124"/>
      <c r="B124"/>
      <c r="C124"/>
      <c r="D124"/>
      <c r="E124"/>
      <c r="F124"/>
      <c r="G124"/>
      <c r="H124"/>
      <c r="I124"/>
    </row>
    <row r="125" spans="1:9" x14ac:dyDescent="0.2">
      <c r="A125"/>
      <c r="B125"/>
      <c r="C125"/>
      <c r="D125"/>
      <c r="E125"/>
      <c r="F125"/>
      <c r="G125"/>
      <c r="H125"/>
      <c r="I125"/>
    </row>
    <row r="126" spans="1:9" x14ac:dyDescent="0.2">
      <c r="A126"/>
      <c r="B126"/>
      <c r="C126"/>
      <c r="D126"/>
      <c r="E126"/>
      <c r="F126"/>
      <c r="G126"/>
      <c r="H126"/>
      <c r="I126"/>
    </row>
    <row r="127" spans="1:9" x14ac:dyDescent="0.2">
      <c r="A127"/>
      <c r="B127"/>
      <c r="C127"/>
      <c r="D127"/>
      <c r="E127"/>
      <c r="F127"/>
      <c r="G127"/>
      <c r="H127"/>
      <c r="I127"/>
    </row>
    <row r="128" spans="1:9" x14ac:dyDescent="0.2">
      <c r="A128"/>
      <c r="B128"/>
      <c r="C128"/>
      <c r="D128"/>
      <c r="E128"/>
      <c r="F128"/>
      <c r="G128"/>
      <c r="H128"/>
      <c r="I128"/>
    </row>
    <row r="129" spans="1:9" x14ac:dyDescent="0.2">
      <c r="A129"/>
      <c r="B129"/>
      <c r="C129"/>
      <c r="D129"/>
      <c r="E129"/>
      <c r="F129"/>
      <c r="G129"/>
      <c r="H129"/>
      <c r="I129"/>
    </row>
    <row r="130" spans="1:9" x14ac:dyDescent="0.2">
      <c r="A130"/>
      <c r="B130"/>
      <c r="C130"/>
      <c r="D130"/>
      <c r="E130"/>
      <c r="F130"/>
      <c r="G130"/>
      <c r="H130"/>
      <c r="I130"/>
    </row>
    <row r="131" spans="1:9" x14ac:dyDescent="0.2">
      <c r="A131"/>
      <c r="B131"/>
      <c r="C131"/>
      <c r="D131"/>
      <c r="E131"/>
      <c r="F131"/>
      <c r="G131"/>
      <c r="H131"/>
      <c r="I131"/>
    </row>
    <row r="132" spans="1:9" x14ac:dyDescent="0.2">
      <c r="A132"/>
      <c r="B132"/>
      <c r="C132"/>
      <c r="D132"/>
      <c r="E132"/>
      <c r="F132"/>
      <c r="G132"/>
      <c r="H132"/>
      <c r="I132"/>
    </row>
    <row r="133" spans="1:9" x14ac:dyDescent="0.2">
      <c r="A133"/>
      <c r="B133"/>
      <c r="C133"/>
      <c r="D133"/>
      <c r="E133"/>
      <c r="F133"/>
      <c r="G133"/>
      <c r="H133"/>
      <c r="I133"/>
    </row>
    <row r="134" spans="1:9" x14ac:dyDescent="0.2">
      <c r="A134"/>
      <c r="B134"/>
      <c r="C134"/>
      <c r="D134"/>
      <c r="E134"/>
      <c r="F134"/>
      <c r="G134"/>
      <c r="H134"/>
      <c r="I134"/>
    </row>
    <row r="135" spans="1:9" x14ac:dyDescent="0.2">
      <c r="A135"/>
      <c r="B135"/>
      <c r="C135"/>
      <c r="D135"/>
      <c r="E135"/>
      <c r="F135"/>
    </row>
    <row r="136" spans="1:9" x14ac:dyDescent="0.2">
      <c r="A136"/>
      <c r="B136"/>
      <c r="C136"/>
      <c r="D136"/>
      <c r="E136"/>
      <c r="F136"/>
    </row>
    <row r="137" spans="1:9" x14ac:dyDescent="0.2">
      <c r="A137"/>
      <c r="B137"/>
      <c r="C137"/>
      <c r="D137"/>
      <c r="E137"/>
      <c r="F137"/>
    </row>
    <row r="138" spans="1:9" x14ac:dyDescent="0.2">
      <c r="A138"/>
      <c r="B138"/>
      <c r="C138"/>
      <c r="D138"/>
      <c r="E138"/>
      <c r="F138"/>
    </row>
    <row r="139" spans="1:9" x14ac:dyDescent="0.2">
      <c r="A139"/>
      <c r="B139"/>
      <c r="C139"/>
      <c r="D139"/>
      <c r="E139"/>
      <c r="F139"/>
    </row>
    <row r="140" spans="1:9" x14ac:dyDescent="0.2">
      <c r="A140"/>
      <c r="B140"/>
      <c r="C140"/>
      <c r="D140"/>
      <c r="E140"/>
      <c r="F140"/>
    </row>
    <row r="141" spans="1:9" x14ac:dyDescent="0.2">
      <c r="A141"/>
      <c r="B141"/>
      <c r="C141"/>
      <c r="D141"/>
      <c r="E141"/>
      <c r="F141"/>
    </row>
    <row r="142" spans="1:9" x14ac:dyDescent="0.2">
      <c r="A142"/>
      <c r="B142"/>
      <c r="C142"/>
      <c r="D142"/>
      <c r="E142"/>
      <c r="F142"/>
    </row>
    <row r="143" spans="1:9" x14ac:dyDescent="0.2">
      <c r="A143"/>
      <c r="B143"/>
      <c r="C143"/>
      <c r="D143"/>
      <c r="E143"/>
      <c r="F143"/>
    </row>
    <row r="144" spans="1:9" x14ac:dyDescent="0.2">
      <c r="A144"/>
      <c r="B144"/>
      <c r="C144"/>
      <c r="D144"/>
      <c r="E144"/>
      <c r="F14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</sheetData>
  <mergeCells count="1">
    <mergeCell ref="A1:K1"/>
  </mergeCells>
  <phoneticPr fontId="0" type="noConversion"/>
  <pageMargins left="0" right="0" top="0" bottom="0" header="0" footer="0"/>
  <pageSetup scale="8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4"/>
  <sheetViews>
    <sheetView workbookViewId="0">
      <pane ySplit="4" topLeftCell="A5" activePane="bottomLeft" state="frozen"/>
      <selection activeCell="A2" sqref="A2"/>
      <selection pane="bottomLeft" activeCell="A2" sqref="A2"/>
    </sheetView>
  </sheetViews>
  <sheetFormatPr defaultColWidth="10" defaultRowHeight="12.75" x14ac:dyDescent="0.2"/>
  <cols>
    <col min="1" max="1" width="12" style="2" customWidth="1"/>
    <col min="2" max="2" width="31.42578125" style="2" customWidth="1"/>
    <col min="3" max="3" width="16.5703125" style="26" customWidth="1"/>
    <col min="4" max="5" width="15.85546875" style="26" customWidth="1"/>
    <col min="6" max="6" width="15.85546875" customWidth="1"/>
    <col min="7" max="7" width="15" customWidth="1"/>
    <col min="8" max="16384" width="10" style="2"/>
  </cols>
  <sheetData>
    <row r="1" spans="1:5" x14ac:dyDescent="0.2">
      <c r="A1" s="326" t="s">
        <v>97</v>
      </c>
      <c r="B1" s="326"/>
      <c r="C1" s="326"/>
      <c r="D1" s="326"/>
      <c r="E1" s="326"/>
    </row>
    <row r="2" spans="1:5" x14ac:dyDescent="0.2">
      <c r="C2" s="42"/>
      <c r="D2" s="42" t="str">
        <f>cover!G6</f>
        <v>APPROVED</v>
      </c>
      <c r="E2" s="42" t="str">
        <f>cover!I6</f>
        <v>REQUESTED</v>
      </c>
    </row>
    <row r="3" spans="1:5" x14ac:dyDescent="0.2">
      <c r="A3"/>
      <c r="B3"/>
      <c r="C3" s="42" t="str">
        <f>cover!C7</f>
        <v>BUDGET</v>
      </c>
      <c r="D3" s="42" t="str">
        <f>cover!G7</f>
        <v>BUDGET</v>
      </c>
      <c r="E3" s="42" t="str">
        <f>cover!I7</f>
        <v>BUDGET</v>
      </c>
    </row>
    <row r="4" spans="1:5" x14ac:dyDescent="0.2">
      <c r="A4"/>
      <c r="B4"/>
      <c r="C4" s="42" t="str">
        <f>cover!C8</f>
        <v>2010-11</v>
      </c>
      <c r="D4" s="42" t="str">
        <f>cover!G8</f>
        <v>2011 -12</v>
      </c>
      <c r="E4" s="42" t="str">
        <f>cover!I8</f>
        <v>2012 -13</v>
      </c>
    </row>
    <row r="6" spans="1:5" x14ac:dyDescent="0.2">
      <c r="A6" s="2" t="s">
        <v>19</v>
      </c>
      <c r="B6" s="2" t="s">
        <v>77</v>
      </c>
      <c r="C6" s="25"/>
      <c r="D6" s="75">
        <v>0</v>
      </c>
      <c r="E6" s="75"/>
    </row>
    <row r="7" spans="1:5" x14ac:dyDescent="0.2">
      <c r="D7" s="43"/>
      <c r="E7" s="43"/>
    </row>
    <row r="8" spans="1:5" x14ac:dyDescent="0.2">
      <c r="A8" s="2" t="s">
        <v>37</v>
      </c>
      <c r="D8" s="43"/>
      <c r="E8" s="43"/>
    </row>
    <row r="9" spans="1:5" x14ac:dyDescent="0.2">
      <c r="B9" s="2" t="s">
        <v>21</v>
      </c>
      <c r="D9" s="43"/>
      <c r="E9" s="43"/>
    </row>
    <row r="10" spans="1:5" x14ac:dyDescent="0.2">
      <c r="B10" s="2" t="s">
        <v>55</v>
      </c>
      <c r="D10" s="43"/>
      <c r="E10" s="43"/>
    </row>
    <row r="11" spans="1:5" x14ac:dyDescent="0.2">
      <c r="B11" s="2" t="s">
        <v>56</v>
      </c>
      <c r="D11" s="43"/>
      <c r="E11" s="43"/>
    </row>
    <row r="12" spans="1:5" x14ac:dyDescent="0.2">
      <c r="B12" s="2" t="s">
        <v>22</v>
      </c>
      <c r="D12" s="43"/>
      <c r="E12" s="43"/>
    </row>
    <row r="13" spans="1:5" x14ac:dyDescent="0.2">
      <c r="B13" s="12" t="s">
        <v>23</v>
      </c>
      <c r="C13" s="41">
        <f>SUM(C9:C12)</f>
        <v>0</v>
      </c>
      <c r="D13" s="74">
        <f>SUM(D9:D12)</f>
        <v>0</v>
      </c>
      <c r="E13" s="74">
        <f>SUM(E9:E12)</f>
        <v>0</v>
      </c>
    </row>
    <row r="14" spans="1:5" x14ac:dyDescent="0.2">
      <c r="A14" s="2" t="s">
        <v>24</v>
      </c>
      <c r="D14" s="43"/>
      <c r="E14" s="43"/>
    </row>
    <row r="15" spans="1:5" x14ac:dyDescent="0.2">
      <c r="B15" s="2" t="s">
        <v>25</v>
      </c>
      <c r="D15" s="43"/>
      <c r="E15" s="43"/>
    </row>
    <row r="16" spans="1:5" x14ac:dyDescent="0.2">
      <c r="B16" s="2" t="s">
        <v>26</v>
      </c>
      <c r="D16" s="43"/>
      <c r="E16" s="43"/>
    </row>
    <row r="17" spans="1:5" x14ac:dyDescent="0.2">
      <c r="A17"/>
      <c r="C17" s="41">
        <f>SUM(C15:C16)</f>
        <v>0</v>
      </c>
      <c r="D17" s="74">
        <f>SUM(D15:D16)</f>
        <v>0</v>
      </c>
      <c r="E17" s="74">
        <f>SUM(E15:E16)</f>
        <v>0</v>
      </c>
    </row>
    <row r="18" spans="1:5" x14ac:dyDescent="0.2">
      <c r="D18" s="43"/>
      <c r="E18" s="43"/>
    </row>
    <row r="19" spans="1:5" x14ac:dyDescent="0.2">
      <c r="A19" s="2" t="s">
        <v>27</v>
      </c>
      <c r="D19" s="43"/>
      <c r="E19" s="43"/>
    </row>
    <row r="20" spans="1:5" x14ac:dyDescent="0.2">
      <c r="A20"/>
      <c r="B20" s="13" t="s">
        <v>57</v>
      </c>
      <c r="D20" s="43"/>
      <c r="E20" s="43"/>
    </row>
    <row r="21" spans="1:5" x14ac:dyDescent="0.2">
      <c r="B21" s="12" t="s">
        <v>58</v>
      </c>
      <c r="D21" s="43"/>
      <c r="E21" s="43"/>
    </row>
    <row r="22" spans="1:5" x14ac:dyDescent="0.2">
      <c r="B22" s="2" t="s">
        <v>28</v>
      </c>
      <c r="D22" s="43"/>
      <c r="E22" s="43"/>
    </row>
    <row r="23" spans="1:5" x14ac:dyDescent="0.2">
      <c r="B23" s="2" t="s">
        <v>59</v>
      </c>
      <c r="D23" s="43"/>
      <c r="E23" s="43"/>
    </row>
    <row r="24" spans="1:5" x14ac:dyDescent="0.2">
      <c r="B24" s="13" t="s">
        <v>60</v>
      </c>
      <c r="D24" s="43"/>
      <c r="E24" s="43"/>
    </row>
    <row r="25" spans="1:5" x14ac:dyDescent="0.2">
      <c r="B25" s="13" t="s">
        <v>61</v>
      </c>
      <c r="D25" s="43"/>
      <c r="E25" s="43"/>
    </row>
    <row r="26" spans="1:5" x14ac:dyDescent="0.2">
      <c r="B26" s="13" t="s">
        <v>62</v>
      </c>
      <c r="D26" s="43"/>
      <c r="E26" s="43"/>
    </row>
    <row r="27" spans="1:5" x14ac:dyDescent="0.2">
      <c r="B27" s="12" t="s">
        <v>63</v>
      </c>
      <c r="D27" s="43"/>
      <c r="E27" s="43"/>
    </row>
    <row r="28" spans="1:5" x14ac:dyDescent="0.2">
      <c r="B28" s="12" t="s">
        <v>29</v>
      </c>
      <c r="D28" s="43"/>
      <c r="E28" s="43"/>
    </row>
    <row r="29" spans="1:5" x14ac:dyDescent="0.2">
      <c r="B29" s="12" t="s">
        <v>78</v>
      </c>
      <c r="D29" s="43"/>
      <c r="E29" s="43"/>
    </row>
    <row r="30" spans="1:5" x14ac:dyDescent="0.2">
      <c r="B30" s="12" t="s">
        <v>89</v>
      </c>
      <c r="D30" s="43"/>
      <c r="E30" s="43"/>
    </row>
    <row r="31" spans="1:5" x14ac:dyDescent="0.2">
      <c r="B31" s="2" t="s">
        <v>45</v>
      </c>
      <c r="D31" s="43"/>
      <c r="E31" s="43"/>
    </row>
    <row r="32" spans="1:5" hidden="1" x14ac:dyDescent="0.2">
      <c r="B32" s="2" t="s">
        <v>31</v>
      </c>
      <c r="D32" s="43"/>
      <c r="E32" s="43"/>
    </row>
    <row r="33" spans="1:5" x14ac:dyDescent="0.2">
      <c r="B33" s="12" t="s">
        <v>32</v>
      </c>
      <c r="C33" s="41">
        <f>SUM(C20:C32)</f>
        <v>0</v>
      </c>
      <c r="D33" s="74">
        <f>SUM(D20:D32)</f>
        <v>0</v>
      </c>
      <c r="E33" s="74">
        <f>SUM(E20:E32)</f>
        <v>0</v>
      </c>
    </row>
    <row r="34" spans="1:5" x14ac:dyDescent="0.2">
      <c r="D34" s="43"/>
      <c r="E34" s="43"/>
    </row>
    <row r="35" spans="1:5" x14ac:dyDescent="0.2">
      <c r="B35" s="2" t="s">
        <v>33</v>
      </c>
      <c r="C35" s="25">
        <f>SUM(C13+C17+C33)</f>
        <v>0</v>
      </c>
      <c r="D35" s="75">
        <f>SUM(D13+D17+D33)</f>
        <v>0</v>
      </c>
      <c r="E35" s="75">
        <f>SUM(E13+E17+E33)</f>
        <v>0</v>
      </c>
    </row>
    <row r="36" spans="1:5" x14ac:dyDescent="0.2">
      <c r="D36" s="43"/>
      <c r="E36" s="43"/>
    </row>
    <row r="37" spans="1:5" ht="13.5" thickBot="1" x14ac:dyDescent="0.25">
      <c r="B37" s="2" t="s">
        <v>52</v>
      </c>
      <c r="C37" s="66">
        <f>C6-C35</f>
        <v>0</v>
      </c>
      <c r="D37" s="76">
        <f>D6-D35</f>
        <v>0</v>
      </c>
      <c r="E37" s="76">
        <f>E6-E35</f>
        <v>0</v>
      </c>
    </row>
    <row r="38" spans="1:5" ht="13.5" thickTop="1" x14ac:dyDescent="0.2">
      <c r="A38"/>
      <c r="D38" s="92"/>
      <c r="E38" s="92"/>
    </row>
    <row r="39" spans="1:5" x14ac:dyDescent="0.2">
      <c r="B39" s="12"/>
      <c r="C39" s="44"/>
      <c r="D39" s="43"/>
      <c r="E39" s="43"/>
    </row>
    <row r="40" spans="1:5" x14ac:dyDescent="0.2">
      <c r="D40" s="43"/>
      <c r="E40" s="43"/>
    </row>
    <row r="41" spans="1:5" x14ac:dyDescent="0.2">
      <c r="D41" s="43"/>
      <c r="E41" s="93"/>
    </row>
    <row r="42" spans="1:5" x14ac:dyDescent="0.2">
      <c r="D42" s="43"/>
      <c r="E42" s="93"/>
    </row>
    <row r="43" spans="1:5" x14ac:dyDescent="0.2">
      <c r="D43" s="43"/>
      <c r="E43" s="90"/>
    </row>
    <row r="44" spans="1:5" x14ac:dyDescent="0.2">
      <c r="E44"/>
    </row>
    <row r="45" spans="1:5" x14ac:dyDescent="0.2">
      <c r="A45"/>
      <c r="E45"/>
    </row>
    <row r="46" spans="1:5" x14ac:dyDescent="0.2">
      <c r="A46"/>
      <c r="E46"/>
    </row>
    <row r="47" spans="1:5" x14ac:dyDescent="0.2">
      <c r="A47"/>
      <c r="E47"/>
    </row>
    <row r="48" spans="1:5" x14ac:dyDescent="0.2">
      <c r="A48"/>
      <c r="E48"/>
    </row>
    <row r="49" spans="1:5" x14ac:dyDescent="0.2">
      <c r="A49"/>
      <c r="E49"/>
    </row>
    <row r="50" spans="1:5" x14ac:dyDescent="0.2">
      <c r="A50"/>
      <c r="B50"/>
      <c r="C50"/>
      <c r="D50"/>
      <c r="E50"/>
    </row>
    <row r="51" spans="1:5" x14ac:dyDescent="0.2">
      <c r="A51"/>
      <c r="B51"/>
      <c r="C51"/>
      <c r="D51"/>
      <c r="E51"/>
    </row>
    <row r="52" spans="1:5" x14ac:dyDescent="0.2">
      <c r="A52"/>
      <c r="B52"/>
      <c r="C52"/>
      <c r="D52"/>
      <c r="E52"/>
    </row>
    <row r="53" spans="1:5" x14ac:dyDescent="0.2">
      <c r="A53"/>
      <c r="B53"/>
      <c r="C53"/>
      <c r="D53"/>
      <c r="E53"/>
    </row>
    <row r="54" spans="1:5" x14ac:dyDescent="0.2">
      <c r="A54"/>
      <c r="B54"/>
      <c r="C54"/>
      <c r="D54"/>
      <c r="E54"/>
    </row>
    <row r="55" spans="1:5" x14ac:dyDescent="0.2">
      <c r="A55"/>
      <c r="B55"/>
      <c r="C55"/>
      <c r="D55"/>
      <c r="E55"/>
    </row>
    <row r="56" spans="1:5" x14ac:dyDescent="0.2">
      <c r="A56"/>
      <c r="B56"/>
      <c r="C56"/>
      <c r="D56"/>
      <c r="E56"/>
    </row>
    <row r="57" spans="1:5" x14ac:dyDescent="0.2">
      <c r="A57"/>
      <c r="B57"/>
      <c r="C57"/>
      <c r="D57"/>
      <c r="E57"/>
    </row>
    <row r="58" spans="1:5" x14ac:dyDescent="0.2">
      <c r="A58"/>
      <c r="B58"/>
      <c r="C58"/>
      <c r="D58"/>
      <c r="E58"/>
    </row>
    <row r="59" spans="1:5" x14ac:dyDescent="0.2">
      <c r="A59"/>
      <c r="B59"/>
      <c r="C59"/>
      <c r="D59"/>
      <c r="E59"/>
    </row>
    <row r="60" spans="1:5" x14ac:dyDescent="0.2">
      <c r="A60"/>
      <c r="B60"/>
      <c r="C60"/>
      <c r="D60"/>
      <c r="E60"/>
    </row>
    <row r="61" spans="1:5" x14ac:dyDescent="0.2">
      <c r="A61"/>
      <c r="B61"/>
      <c r="C61"/>
      <c r="D61"/>
      <c r="E61"/>
    </row>
    <row r="62" spans="1:5" x14ac:dyDescent="0.2">
      <c r="A62"/>
      <c r="B62"/>
      <c r="C62"/>
      <c r="D62"/>
      <c r="E62"/>
    </row>
    <row r="63" spans="1:5" x14ac:dyDescent="0.2">
      <c r="A63"/>
      <c r="B63"/>
      <c r="C63"/>
      <c r="D63"/>
      <c r="E63"/>
    </row>
    <row r="64" spans="1:5" x14ac:dyDescent="0.2">
      <c r="A64"/>
      <c r="B64"/>
      <c r="C64"/>
      <c r="D64"/>
      <c r="E64"/>
    </row>
    <row r="65" spans="1:5" x14ac:dyDescent="0.2">
      <c r="A65"/>
      <c r="B65"/>
      <c r="C65"/>
      <c r="D65"/>
      <c r="E65"/>
    </row>
    <row r="66" spans="1:5" x14ac:dyDescent="0.2">
      <c r="A66"/>
      <c r="B66"/>
      <c r="C66"/>
      <c r="D66"/>
      <c r="E66"/>
    </row>
    <row r="67" spans="1:5" x14ac:dyDescent="0.2">
      <c r="A67"/>
      <c r="B67"/>
      <c r="C67"/>
      <c r="D67"/>
      <c r="E67"/>
    </row>
    <row r="68" spans="1:5" x14ac:dyDescent="0.2">
      <c r="A68"/>
      <c r="B68"/>
      <c r="C68"/>
      <c r="D68"/>
      <c r="E68"/>
    </row>
    <row r="69" spans="1:5" x14ac:dyDescent="0.2">
      <c r="A69"/>
      <c r="B69"/>
      <c r="C69"/>
      <c r="D69"/>
      <c r="E69"/>
    </row>
    <row r="70" spans="1:5" x14ac:dyDescent="0.2">
      <c r="A70"/>
      <c r="B70"/>
      <c r="C70"/>
      <c r="D70"/>
      <c r="E70"/>
    </row>
    <row r="71" spans="1:5" x14ac:dyDescent="0.2">
      <c r="A71"/>
      <c r="B71"/>
      <c r="C71"/>
      <c r="D71"/>
      <c r="E71"/>
    </row>
    <row r="72" spans="1:5" x14ac:dyDescent="0.2">
      <c r="A72"/>
      <c r="B72"/>
      <c r="C72"/>
      <c r="D72"/>
      <c r="E72"/>
    </row>
    <row r="73" spans="1:5" x14ac:dyDescent="0.2">
      <c r="A73"/>
      <c r="B73"/>
      <c r="C73"/>
      <c r="D73"/>
      <c r="E73"/>
    </row>
    <row r="74" spans="1:5" x14ac:dyDescent="0.2">
      <c r="A74"/>
      <c r="B74"/>
      <c r="C74"/>
      <c r="D74"/>
      <c r="E74"/>
    </row>
    <row r="75" spans="1:5" x14ac:dyDescent="0.2">
      <c r="A75"/>
      <c r="B75"/>
      <c r="C75"/>
      <c r="D75"/>
      <c r="E75"/>
    </row>
    <row r="76" spans="1:5" x14ac:dyDescent="0.2">
      <c r="A76"/>
      <c r="B76"/>
      <c r="C76"/>
      <c r="D76"/>
      <c r="E76"/>
    </row>
    <row r="77" spans="1:5" x14ac:dyDescent="0.2">
      <c r="A77"/>
      <c r="B77"/>
      <c r="C77"/>
      <c r="D77"/>
      <c r="E77"/>
    </row>
    <row r="78" spans="1:5" x14ac:dyDescent="0.2">
      <c r="A78"/>
      <c r="B78"/>
      <c r="C78"/>
      <c r="D78"/>
      <c r="E78"/>
    </row>
    <row r="79" spans="1:5" x14ac:dyDescent="0.2">
      <c r="A79"/>
      <c r="B79"/>
      <c r="C79"/>
      <c r="D79"/>
      <c r="E79"/>
    </row>
    <row r="80" spans="1:5" x14ac:dyDescent="0.2">
      <c r="A80"/>
      <c r="B80"/>
      <c r="C80"/>
      <c r="D80"/>
      <c r="E80"/>
    </row>
    <row r="81" customFormat="1" x14ac:dyDescent="0.2"/>
    <row r="82" customFormat="1" x14ac:dyDescent="0.2"/>
    <row r="83" customFormat="1" x14ac:dyDescent="0.2"/>
    <row r="84" customFormat="1" x14ac:dyDescent="0.2"/>
  </sheetData>
  <mergeCells count="1">
    <mergeCell ref="A1:E1"/>
  </mergeCells>
  <phoneticPr fontId="0" type="noConversion"/>
  <pageMargins left="0" right="0" top="0.56999999999999995" bottom="0" header="0" footer="0"/>
  <pageSetup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workbookViewId="0">
      <selection activeCell="B21" sqref="B21"/>
    </sheetView>
  </sheetViews>
  <sheetFormatPr defaultColWidth="10.28515625" defaultRowHeight="12.75" x14ac:dyDescent="0.2"/>
  <cols>
    <col min="1" max="1" width="10.5703125" style="19" customWidth="1"/>
    <col min="2" max="2" width="35" style="19" bestFit="1" customWidth="1"/>
    <col min="3" max="3" width="14.85546875" style="35" customWidth="1"/>
    <col min="4" max="4" width="2.28515625" style="35" customWidth="1"/>
    <col min="5" max="5" width="14.85546875" style="35" customWidth="1"/>
    <col min="6" max="6" width="2.28515625" style="35" customWidth="1"/>
    <col min="7" max="7" width="14.5703125" style="35" customWidth="1"/>
    <col min="8" max="8" width="2.28515625" style="35" customWidth="1"/>
    <col min="9" max="9" width="14.5703125" style="35" customWidth="1"/>
    <col min="10" max="10" width="2.28515625" customWidth="1"/>
    <col min="11" max="11" width="16" style="233" customWidth="1"/>
    <col min="12" max="16384" width="10.28515625" style="19"/>
  </cols>
  <sheetData>
    <row r="1" spans="1:12" x14ac:dyDescent="0.2">
      <c r="A1" s="326" t="s">
        <v>412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2" x14ac:dyDescent="0.2">
      <c r="A2" s="163"/>
      <c r="B2" s="163"/>
      <c r="C2" s="163"/>
      <c r="D2" s="163"/>
      <c r="E2" s="163"/>
      <c r="F2" s="163"/>
      <c r="G2" s="163"/>
      <c r="H2" s="163"/>
      <c r="I2" s="163"/>
    </row>
    <row r="3" spans="1:12" x14ac:dyDescent="0.2">
      <c r="A3" s="30"/>
      <c r="C3" s="42" t="str">
        <f>cover!C6</f>
        <v>APPROVED</v>
      </c>
      <c r="D3" s="42"/>
      <c r="E3" s="42" t="str">
        <f>cover!E6</f>
        <v xml:space="preserve"> </v>
      </c>
      <c r="F3" s="42"/>
      <c r="G3" s="42" t="str">
        <f>cover!G6</f>
        <v>APPROVED</v>
      </c>
      <c r="H3" s="42"/>
      <c r="I3" s="42" t="str">
        <f>cover!I6</f>
        <v>REQUESTED</v>
      </c>
      <c r="K3" s="126" t="str">
        <f>cover!K6</f>
        <v>PERCENT</v>
      </c>
      <c r="L3" s="30"/>
    </row>
    <row r="4" spans="1:12" x14ac:dyDescent="0.2">
      <c r="A4" s="30"/>
      <c r="B4"/>
      <c r="C4" s="42" t="str">
        <f>cover!C7</f>
        <v>BUDGET</v>
      </c>
      <c r="D4" s="42"/>
      <c r="E4" s="42" t="str">
        <f>cover!E7</f>
        <v>ACTUAL</v>
      </c>
      <c r="F4" s="42"/>
      <c r="G4" s="42" t="str">
        <f>cover!G7</f>
        <v>BUDGET</v>
      </c>
      <c r="H4" s="42"/>
      <c r="I4" s="42" t="str">
        <f>cover!I7</f>
        <v>BUDGET</v>
      </c>
      <c r="K4" s="126" t="str">
        <f>cover!K7</f>
        <v>CHANGE</v>
      </c>
      <c r="L4" s="30"/>
    </row>
    <row r="5" spans="1:12" x14ac:dyDescent="0.2">
      <c r="A5" s="158"/>
      <c r="B5" s="158"/>
      <c r="C5" s="292" t="str">
        <f>cover!C8</f>
        <v>2010-11</v>
      </c>
      <c r="D5" s="292"/>
      <c r="E5" s="292" t="str">
        <f>cover!E8</f>
        <v>2010-11</v>
      </c>
      <c r="F5" s="292"/>
      <c r="G5" s="292" t="str">
        <f>cover!G8</f>
        <v>2011 -12</v>
      </c>
      <c r="H5" s="292"/>
      <c r="I5" s="292" t="str">
        <f>cover!I8</f>
        <v>2012 -13</v>
      </c>
      <c r="J5" s="293"/>
      <c r="K5" s="294" t="str">
        <f>cover!K8</f>
        <v>FY12/FY13</v>
      </c>
      <c r="L5" s="30"/>
    </row>
    <row r="6" spans="1:12" x14ac:dyDescent="0.2">
      <c r="A6" s="30" t="s">
        <v>19</v>
      </c>
      <c r="B6" s="30"/>
      <c r="C6" s="33"/>
      <c r="D6" s="33"/>
      <c r="E6" s="33"/>
      <c r="F6" s="33"/>
      <c r="G6" s="33"/>
      <c r="H6" s="33"/>
      <c r="I6" s="33"/>
      <c r="J6" s="100"/>
      <c r="K6" s="253"/>
      <c r="L6" s="30"/>
    </row>
    <row r="7" spans="1:12" x14ac:dyDescent="0.2">
      <c r="A7" s="30"/>
      <c r="B7" s="2" t="s">
        <v>302</v>
      </c>
      <c r="C7" s="68">
        <v>1500</v>
      </c>
      <c r="D7" s="33"/>
      <c r="E7" s="33">
        <v>200</v>
      </c>
      <c r="F7" s="33"/>
      <c r="G7" s="68">
        <v>1500</v>
      </c>
      <c r="H7" s="68"/>
      <c r="I7" s="68">
        <v>200</v>
      </c>
      <c r="J7" s="100"/>
      <c r="K7" s="270">
        <f>+(I7-G7)/G7</f>
        <v>-0.8666666666666667</v>
      </c>
      <c r="L7" s="30"/>
    </row>
    <row r="8" spans="1:12" x14ac:dyDescent="0.2">
      <c r="A8" s="30"/>
      <c r="B8" s="2" t="s">
        <v>301</v>
      </c>
      <c r="C8" s="67">
        <v>12360</v>
      </c>
      <c r="D8" s="33"/>
      <c r="E8" s="34">
        <v>13185</v>
      </c>
      <c r="F8" s="33"/>
      <c r="G8" s="67">
        <v>12360</v>
      </c>
      <c r="H8" s="68"/>
      <c r="I8" s="67">
        <v>13185</v>
      </c>
      <c r="J8" s="100"/>
      <c r="K8" s="270">
        <f>+(I8-G8)/G8</f>
        <v>6.6747572815533979E-2</v>
      </c>
      <c r="L8" s="30"/>
    </row>
    <row r="9" spans="1:12" x14ac:dyDescent="0.2">
      <c r="A9" s="30"/>
      <c r="B9" s="31" t="s">
        <v>20</v>
      </c>
      <c r="C9" s="70">
        <f>SUM(C7:C8)</f>
        <v>13860</v>
      </c>
      <c r="D9" s="33"/>
      <c r="E9" s="65">
        <f>SUM(E7:E8)</f>
        <v>13385</v>
      </c>
      <c r="F9" s="33"/>
      <c r="G9" s="70">
        <f>SUM(G7:G8)</f>
        <v>13860</v>
      </c>
      <c r="H9" s="68"/>
      <c r="I9" s="70">
        <f>SUM(I7:I8)</f>
        <v>13385</v>
      </c>
      <c r="J9" s="271"/>
      <c r="K9" s="272">
        <f>+(I9-G9)/G9</f>
        <v>-3.4271284271284272E-2</v>
      </c>
      <c r="L9" s="30"/>
    </row>
    <row r="10" spans="1:12" x14ac:dyDescent="0.2">
      <c r="A10" s="30"/>
      <c r="B10" s="30"/>
      <c r="C10" s="33"/>
      <c r="D10" s="33"/>
      <c r="E10" s="33"/>
      <c r="F10" s="33"/>
      <c r="G10" s="68"/>
      <c r="H10" s="68"/>
      <c r="I10" s="68"/>
      <c r="J10" s="100"/>
      <c r="K10" s="253"/>
      <c r="L10" s="30"/>
    </row>
    <row r="11" spans="1:12" x14ac:dyDescent="0.2">
      <c r="A11" s="2" t="s">
        <v>37</v>
      </c>
      <c r="B11" s="2"/>
      <c r="C11" s="26"/>
      <c r="D11" s="26"/>
      <c r="E11" s="26"/>
      <c r="F11" s="26"/>
      <c r="G11" s="43"/>
      <c r="H11" s="43"/>
      <c r="I11" s="43"/>
      <c r="J11" s="271"/>
      <c r="K11" s="253"/>
      <c r="L11" s="100"/>
    </row>
    <row r="12" spans="1:12" hidden="1" x14ac:dyDescent="0.2">
      <c r="A12" s="258"/>
      <c r="B12" s="258" t="s">
        <v>21</v>
      </c>
      <c r="C12" s="263"/>
      <c r="D12" s="263"/>
      <c r="E12" s="263"/>
      <c r="F12" s="263"/>
      <c r="G12" s="262"/>
      <c r="H12" s="262"/>
      <c r="I12" s="262"/>
      <c r="J12" s="267"/>
      <c r="K12" s="264"/>
      <c r="L12"/>
    </row>
    <row r="13" spans="1:12" hidden="1" x14ac:dyDescent="0.2">
      <c r="A13" s="258"/>
      <c r="B13" s="258" t="s">
        <v>55</v>
      </c>
      <c r="C13" s="263"/>
      <c r="D13" s="263"/>
      <c r="E13" s="263"/>
      <c r="F13" s="263"/>
      <c r="G13" s="262"/>
      <c r="H13" s="262"/>
      <c r="I13" s="262"/>
      <c r="J13" s="267"/>
      <c r="K13" s="264"/>
      <c r="L13"/>
    </row>
    <row r="14" spans="1:12" x14ac:dyDescent="0.2">
      <c r="A14" s="2"/>
      <c r="B14" s="2" t="s">
        <v>303</v>
      </c>
      <c r="C14" s="68">
        <v>31880</v>
      </c>
      <c r="D14" s="82"/>
      <c r="E14" s="82">
        <v>28162.27</v>
      </c>
      <c r="F14" s="82"/>
      <c r="G14" s="68">
        <v>45000</v>
      </c>
      <c r="H14" s="68"/>
      <c r="I14" s="68">
        <f>+G14+(G14*0.03)</f>
        <v>46350</v>
      </c>
      <c r="J14" s="271"/>
      <c r="K14" s="270">
        <f>+(I14-G14)/G14</f>
        <v>0.03</v>
      </c>
      <c r="L14" s="100"/>
    </row>
    <row r="15" spans="1:12" x14ac:dyDescent="0.2">
      <c r="A15" s="2"/>
      <c r="B15" s="2" t="s">
        <v>304</v>
      </c>
      <c r="C15" s="81">
        <v>0</v>
      </c>
      <c r="D15" s="68"/>
      <c r="E15" s="81">
        <v>449.88</v>
      </c>
      <c r="F15" s="68"/>
      <c r="G15" s="67">
        <v>0</v>
      </c>
      <c r="H15" s="68"/>
      <c r="I15" s="67">
        <v>0</v>
      </c>
      <c r="J15" s="271"/>
      <c r="K15" s="273">
        <v>0</v>
      </c>
      <c r="L15" s="100"/>
    </row>
    <row r="16" spans="1:12" x14ac:dyDescent="0.2">
      <c r="A16" s="2"/>
      <c r="B16" s="12" t="s">
        <v>23</v>
      </c>
      <c r="C16" s="74">
        <f>SUM(C14:C15)</f>
        <v>31880</v>
      </c>
      <c r="D16" s="26"/>
      <c r="E16" s="41">
        <f>SUM(E14:E15)</f>
        <v>28612.15</v>
      </c>
      <c r="F16" s="26"/>
      <c r="G16" s="74">
        <f>SUM(G14:G15)</f>
        <v>45000</v>
      </c>
      <c r="H16" s="43"/>
      <c r="I16" s="74">
        <f>SUM(I14:I15)</f>
        <v>46350</v>
      </c>
      <c r="J16" s="271"/>
      <c r="K16" s="272">
        <f>+(I16-G16)/G16</f>
        <v>0.03</v>
      </c>
      <c r="L16" s="100"/>
    </row>
    <row r="17" spans="1:12" x14ac:dyDescent="0.2">
      <c r="A17" s="2"/>
      <c r="B17" s="2"/>
      <c r="C17" s="26"/>
      <c r="D17" s="26"/>
      <c r="E17" s="26"/>
      <c r="F17" s="26"/>
      <c r="G17" s="43"/>
      <c r="H17" s="43"/>
      <c r="I17" s="43"/>
      <c r="J17" s="271"/>
      <c r="K17" s="253"/>
      <c r="L17" s="100"/>
    </row>
    <row r="18" spans="1:12" x14ac:dyDescent="0.2">
      <c r="A18" s="2" t="s">
        <v>24</v>
      </c>
      <c r="B18" s="2"/>
      <c r="C18" s="26"/>
      <c r="D18" s="26"/>
      <c r="E18" s="26"/>
      <c r="F18" s="26"/>
      <c r="G18" s="43"/>
      <c r="H18" s="43"/>
      <c r="I18" s="43"/>
      <c r="J18" s="271"/>
      <c r="K18" s="253"/>
      <c r="L18" s="100"/>
    </row>
    <row r="19" spans="1:12" x14ac:dyDescent="0.2">
      <c r="A19" s="100"/>
      <c r="B19" s="2" t="s">
        <v>25</v>
      </c>
      <c r="C19" s="68">
        <v>956</v>
      </c>
      <c r="D19" s="33"/>
      <c r="E19" s="33">
        <v>929.24</v>
      </c>
      <c r="F19" s="33"/>
      <c r="G19" s="68">
        <v>1350</v>
      </c>
      <c r="H19" s="68"/>
      <c r="I19" s="68">
        <f>+I14*0.03</f>
        <v>1390.5</v>
      </c>
      <c r="J19" s="271"/>
      <c r="K19" s="270">
        <f>+(I19-G19)/G19</f>
        <v>0.03</v>
      </c>
      <c r="L19" s="100"/>
    </row>
    <row r="20" spans="1:12" x14ac:dyDescent="0.2">
      <c r="A20" s="100"/>
      <c r="B20" s="12" t="s">
        <v>38</v>
      </c>
      <c r="C20" s="70">
        <f>SUM(C19:C19)</f>
        <v>956</v>
      </c>
      <c r="D20" s="33"/>
      <c r="E20" s="65">
        <f>SUM(E19:E19)</f>
        <v>929.24</v>
      </c>
      <c r="F20" s="33"/>
      <c r="G20" s="70">
        <f>SUM(G19:G19)</f>
        <v>1350</v>
      </c>
      <c r="H20" s="68"/>
      <c r="I20" s="70">
        <f>SUM(I19:I19)</f>
        <v>1390.5</v>
      </c>
      <c r="J20" s="271"/>
      <c r="K20" s="272">
        <f>+(I20-G20)/G20</f>
        <v>0.03</v>
      </c>
      <c r="L20" s="100"/>
    </row>
    <row r="21" spans="1:12" x14ac:dyDescent="0.2">
      <c r="A21" s="30"/>
      <c r="B21" s="146"/>
      <c r="C21" s="26"/>
      <c r="D21" s="26"/>
      <c r="E21" s="26"/>
      <c r="F21" s="26"/>
      <c r="G21" s="43"/>
      <c r="H21" s="43"/>
      <c r="I21" s="43"/>
      <c r="J21" s="271"/>
      <c r="K21" s="253"/>
      <c r="L21" s="26"/>
    </row>
    <row r="22" spans="1:12" x14ac:dyDescent="0.2">
      <c r="A22" s="30" t="s">
        <v>27</v>
      </c>
      <c r="B22" s="146"/>
      <c r="C22" s="26"/>
      <c r="D22" s="26"/>
      <c r="E22" s="26"/>
      <c r="F22" s="26"/>
      <c r="G22" s="43"/>
      <c r="H22" s="43"/>
      <c r="I22" s="43"/>
      <c r="J22" s="271"/>
      <c r="K22" s="253"/>
      <c r="L22" s="26"/>
    </row>
    <row r="23" spans="1:12" x14ac:dyDescent="0.2">
      <c r="A23" s="30"/>
      <c r="B23" s="13" t="s">
        <v>270</v>
      </c>
      <c r="C23" s="68">
        <v>3571</v>
      </c>
      <c r="D23" s="33"/>
      <c r="E23" s="33">
        <v>1628.22</v>
      </c>
      <c r="F23" s="33"/>
      <c r="G23" s="68">
        <f>2500+3576+1000</f>
        <v>7076</v>
      </c>
      <c r="H23" s="68"/>
      <c r="I23" s="68">
        <v>7218</v>
      </c>
      <c r="J23" s="271"/>
      <c r="K23" s="270">
        <f t="shared" ref="K23:K25" si="0">+(I23-G23)/G23</f>
        <v>2.0067834934991521E-2</v>
      </c>
      <c r="L23" s="30"/>
    </row>
    <row r="24" spans="1:12" x14ac:dyDescent="0.2">
      <c r="A24" s="30"/>
      <c r="B24" s="2" t="s">
        <v>178</v>
      </c>
      <c r="C24" s="68">
        <v>1082</v>
      </c>
      <c r="D24" s="33"/>
      <c r="E24" s="33">
        <v>0</v>
      </c>
      <c r="F24" s="33"/>
      <c r="G24" s="68">
        <v>1082</v>
      </c>
      <c r="H24" s="68"/>
      <c r="I24" s="68">
        <v>1082</v>
      </c>
      <c r="J24" s="271"/>
      <c r="K24" s="270">
        <f t="shared" si="0"/>
        <v>0</v>
      </c>
      <c r="L24" s="30"/>
    </row>
    <row r="25" spans="1:12" x14ac:dyDescent="0.2">
      <c r="A25" s="30"/>
      <c r="B25" s="13" t="s">
        <v>305</v>
      </c>
      <c r="C25" s="68">
        <v>325</v>
      </c>
      <c r="D25" s="33"/>
      <c r="E25" s="33">
        <v>2591.6</v>
      </c>
      <c r="F25" s="33"/>
      <c r="G25" s="68">
        <f>325+3000</f>
        <v>3325</v>
      </c>
      <c r="H25" s="68"/>
      <c r="I25" s="68">
        <v>3391</v>
      </c>
      <c r="J25" s="271"/>
      <c r="K25" s="270">
        <f t="shared" si="0"/>
        <v>1.9849624060150377E-2</v>
      </c>
      <c r="L25" s="30"/>
    </row>
    <row r="26" spans="1:12" x14ac:dyDescent="0.2">
      <c r="A26" s="30"/>
      <c r="B26" s="13" t="s">
        <v>200</v>
      </c>
      <c r="C26" s="68">
        <v>281</v>
      </c>
      <c r="D26" s="33"/>
      <c r="E26" s="33">
        <v>69</v>
      </c>
      <c r="F26" s="33"/>
      <c r="G26" s="68">
        <v>0</v>
      </c>
      <c r="H26" s="68"/>
      <c r="I26" s="68">
        <v>69</v>
      </c>
      <c r="J26" s="271"/>
      <c r="K26" s="270">
        <v>1</v>
      </c>
      <c r="L26" s="30"/>
    </row>
    <row r="27" spans="1:12" x14ac:dyDescent="0.2">
      <c r="A27" s="30"/>
      <c r="B27" s="2" t="s">
        <v>308</v>
      </c>
      <c r="C27" s="68">
        <v>4821</v>
      </c>
      <c r="D27" s="33"/>
      <c r="E27" s="33">
        <v>0</v>
      </c>
      <c r="F27" s="33"/>
      <c r="G27" s="68">
        <f>300</f>
        <v>300</v>
      </c>
      <c r="H27" s="68"/>
      <c r="I27" s="68">
        <v>300</v>
      </c>
      <c r="J27" s="271"/>
      <c r="K27" s="270">
        <f t="shared" ref="K27:K30" si="1">+(I27-G27)/G27</f>
        <v>0</v>
      </c>
      <c r="L27" s="30"/>
    </row>
    <row r="28" spans="1:12" x14ac:dyDescent="0.2">
      <c r="A28" s="30"/>
      <c r="B28" s="2" t="s">
        <v>290</v>
      </c>
      <c r="C28" s="68">
        <v>2164</v>
      </c>
      <c r="D28" s="33"/>
      <c r="E28" s="33">
        <v>200</v>
      </c>
      <c r="F28" s="33"/>
      <c r="G28" s="68">
        <f>2164+400</f>
        <v>2564</v>
      </c>
      <c r="H28" s="68"/>
      <c r="I28" s="68">
        <v>2564</v>
      </c>
      <c r="J28" s="271"/>
      <c r="K28" s="270">
        <f t="shared" si="1"/>
        <v>0</v>
      </c>
      <c r="L28" s="30"/>
    </row>
    <row r="29" spans="1:12" x14ac:dyDescent="0.2">
      <c r="A29" s="30"/>
      <c r="B29" s="13" t="s">
        <v>306</v>
      </c>
      <c r="C29" s="68">
        <v>6600</v>
      </c>
      <c r="D29" s="33"/>
      <c r="E29" s="33">
        <v>694.76</v>
      </c>
      <c r="F29" s="33"/>
      <c r="G29" s="68">
        <f>6600-3000</f>
        <v>3600</v>
      </c>
      <c r="H29" s="68"/>
      <c r="I29" s="68">
        <v>3600</v>
      </c>
      <c r="J29" s="271"/>
      <c r="K29" s="270">
        <f t="shared" si="1"/>
        <v>0</v>
      </c>
      <c r="L29" s="30"/>
    </row>
    <row r="30" spans="1:12" x14ac:dyDescent="0.2">
      <c r="A30" s="30"/>
      <c r="B30" s="13" t="s">
        <v>307</v>
      </c>
      <c r="C30" s="68">
        <v>130</v>
      </c>
      <c r="D30" s="33"/>
      <c r="E30" s="33">
        <v>155</v>
      </c>
      <c r="F30" s="33"/>
      <c r="G30" s="68">
        <v>130</v>
      </c>
      <c r="H30" s="68"/>
      <c r="I30" s="68">
        <v>133</v>
      </c>
      <c r="J30" s="271"/>
      <c r="K30" s="270">
        <f t="shared" si="1"/>
        <v>2.3076923076923078E-2</v>
      </c>
      <c r="L30" s="30"/>
    </row>
    <row r="31" spans="1:12" x14ac:dyDescent="0.2">
      <c r="A31" s="30"/>
      <c r="B31" s="12" t="s">
        <v>76</v>
      </c>
      <c r="C31" s="70">
        <f>SUM(C23:C30)</f>
        <v>18974</v>
      </c>
      <c r="D31" s="33"/>
      <c r="E31" s="65">
        <f>SUM(E23:E30)</f>
        <v>5338.58</v>
      </c>
      <c r="F31" s="33"/>
      <c r="G31" s="70">
        <f>SUM(G23:G30)</f>
        <v>18077</v>
      </c>
      <c r="H31" s="68"/>
      <c r="I31" s="70">
        <f>SUM(I23:I30)</f>
        <v>18357</v>
      </c>
      <c r="J31" s="271"/>
      <c r="K31" s="272">
        <f>+(I31-G31)/G31</f>
        <v>1.548929579023068E-2</v>
      </c>
      <c r="L31" s="30"/>
    </row>
    <row r="32" spans="1:12" x14ac:dyDescent="0.2">
      <c r="A32" s="30"/>
      <c r="B32" s="30"/>
      <c r="C32" s="33"/>
      <c r="D32" s="33"/>
      <c r="E32" s="33"/>
      <c r="F32" s="33"/>
      <c r="G32" s="68"/>
      <c r="H32" s="68"/>
      <c r="I32" s="68"/>
      <c r="J32" s="271"/>
      <c r="K32" s="270"/>
      <c r="L32" s="30"/>
    </row>
    <row r="33" spans="1:12" x14ac:dyDescent="0.2">
      <c r="A33" s="30"/>
      <c r="B33" s="30" t="s">
        <v>33</v>
      </c>
      <c r="C33" s="67">
        <f>+C31+C20+C16</f>
        <v>51810</v>
      </c>
      <c r="D33" s="33"/>
      <c r="E33" s="81">
        <f>+E31+E20+E16</f>
        <v>34879.97</v>
      </c>
      <c r="F33" s="33"/>
      <c r="G33" s="67">
        <f>+G31+G19+G16</f>
        <v>64427</v>
      </c>
      <c r="H33" s="68"/>
      <c r="I33" s="67">
        <f>+I31+I19+I16</f>
        <v>66097.5</v>
      </c>
      <c r="J33" s="271"/>
      <c r="K33" s="274">
        <f t="shared" ref="K33" si="2">+(I33-G33)/G33</f>
        <v>2.5928570319896937E-2</v>
      </c>
      <c r="L33" s="30"/>
    </row>
    <row r="34" spans="1:12" x14ac:dyDescent="0.2">
      <c r="A34" s="30"/>
      <c r="B34" s="30"/>
      <c r="C34" s="33"/>
      <c r="D34" s="33"/>
      <c r="E34" s="33"/>
      <c r="F34" s="33"/>
      <c r="G34" s="68"/>
      <c r="H34" s="68"/>
      <c r="I34" s="68"/>
      <c r="J34" s="275"/>
      <c r="K34" s="276"/>
      <c r="L34" s="30"/>
    </row>
    <row r="35" spans="1:12" ht="13.5" thickBot="1" x14ac:dyDescent="0.25">
      <c r="A35" s="30"/>
      <c r="B35" s="30" t="s">
        <v>46</v>
      </c>
      <c r="C35" s="226">
        <f>C9-C33</f>
        <v>-37950</v>
      </c>
      <c r="D35" s="33"/>
      <c r="E35" s="227">
        <f>E9-E33</f>
        <v>-21494.97</v>
      </c>
      <c r="F35" s="33"/>
      <c r="G35" s="226">
        <f>G9-G33</f>
        <v>-50567</v>
      </c>
      <c r="H35" s="68"/>
      <c r="I35" s="226">
        <f>I9-I33</f>
        <v>-52712.5</v>
      </c>
      <c r="J35" s="271"/>
      <c r="K35" s="277">
        <f t="shared" ref="K35" si="3">+(I35-G35)/G35</f>
        <v>4.2428856764292922E-2</v>
      </c>
      <c r="L35" s="30"/>
    </row>
    <row r="36" spans="1:12" ht="13.5" thickTop="1" x14ac:dyDescent="0.2">
      <c r="A36" s="30"/>
      <c r="B36" s="2"/>
      <c r="C36" s="26"/>
      <c r="D36" s="26"/>
      <c r="E36" s="26"/>
      <c r="F36" s="26"/>
      <c r="G36" s="68"/>
      <c r="H36" s="68"/>
      <c r="I36" s="68"/>
      <c r="L36" s="30"/>
    </row>
    <row r="37" spans="1:12" x14ac:dyDescent="0.2">
      <c r="B37" s="12"/>
      <c r="C37" s="26"/>
      <c r="D37" s="26"/>
      <c r="E37" s="26"/>
      <c r="F37" s="26"/>
      <c r="G37" s="86"/>
      <c r="H37" s="86"/>
      <c r="I37" s="86"/>
    </row>
    <row r="38" spans="1:12" x14ac:dyDescent="0.2">
      <c r="B38" s="12"/>
      <c r="C38" s="40"/>
      <c r="D38" s="40"/>
      <c r="E38" s="40"/>
      <c r="F38" s="40"/>
      <c r="G38" s="90"/>
      <c r="H38" s="90"/>
      <c r="I38" s="90"/>
    </row>
    <row r="39" spans="1:12" x14ac:dyDescent="0.2">
      <c r="B39"/>
      <c r="C39"/>
      <c r="D39"/>
      <c r="E39"/>
      <c r="F39"/>
      <c r="G39" s="90"/>
      <c r="H39" s="90"/>
      <c r="I39" s="90"/>
    </row>
    <row r="40" spans="1:12" x14ac:dyDescent="0.2">
      <c r="A40"/>
      <c r="B40"/>
      <c r="C40"/>
      <c r="D40"/>
      <c r="E40"/>
      <c r="F40"/>
      <c r="G40" s="90"/>
      <c r="H40" s="90"/>
      <c r="I40" s="90"/>
    </row>
    <row r="41" spans="1:12" x14ac:dyDescent="0.2">
      <c r="A41"/>
      <c r="B41"/>
      <c r="C41"/>
      <c r="D41"/>
      <c r="E41"/>
      <c r="F41"/>
      <c r="G41" s="90"/>
      <c r="H41" s="90"/>
      <c r="I41" s="90"/>
    </row>
    <row r="42" spans="1:12" x14ac:dyDescent="0.2">
      <c r="A42"/>
      <c r="B42"/>
      <c r="C42"/>
      <c r="D42"/>
      <c r="E42"/>
      <c r="F42"/>
      <c r="G42" s="90"/>
      <c r="H42" s="90"/>
      <c r="I42" s="90"/>
    </row>
    <row r="43" spans="1:12" x14ac:dyDescent="0.2">
      <c r="A43"/>
      <c r="B43"/>
      <c r="C43"/>
      <c r="D43"/>
      <c r="E43"/>
      <c r="F43"/>
      <c r="G43" s="90"/>
      <c r="H43" s="90"/>
      <c r="I43" s="90"/>
    </row>
    <row r="44" spans="1:12" x14ac:dyDescent="0.2">
      <c r="A44"/>
      <c r="B44"/>
      <c r="C44"/>
      <c r="D44"/>
      <c r="E44"/>
      <c r="F44"/>
      <c r="G44"/>
      <c r="H44"/>
      <c r="I44"/>
    </row>
    <row r="45" spans="1:12" x14ac:dyDescent="0.2">
      <c r="A45"/>
      <c r="B45"/>
      <c r="C45"/>
      <c r="D45"/>
      <c r="E45"/>
      <c r="F45"/>
      <c r="G45"/>
      <c r="H45"/>
      <c r="I45"/>
    </row>
    <row r="46" spans="1:12" x14ac:dyDescent="0.2">
      <c r="A46"/>
      <c r="B46"/>
      <c r="C46"/>
      <c r="D46"/>
      <c r="E46"/>
      <c r="F46"/>
      <c r="G46"/>
      <c r="H46"/>
      <c r="I46"/>
    </row>
    <row r="47" spans="1:12" x14ac:dyDescent="0.2">
      <c r="A47"/>
      <c r="B47"/>
      <c r="C47"/>
      <c r="D47"/>
      <c r="E47"/>
      <c r="F47"/>
      <c r="G47"/>
      <c r="H47"/>
      <c r="I47"/>
    </row>
    <row r="48" spans="1:12" x14ac:dyDescent="0.2">
      <c r="A48"/>
      <c r="B48"/>
      <c r="C48"/>
      <c r="D48"/>
      <c r="E48"/>
      <c r="F48"/>
      <c r="G48"/>
      <c r="H48"/>
      <c r="I48"/>
    </row>
    <row r="49" spans="1:9" x14ac:dyDescent="0.2">
      <c r="A49"/>
      <c r="B49"/>
      <c r="C49"/>
      <c r="D49"/>
      <c r="E49"/>
      <c r="F49"/>
      <c r="G49"/>
      <c r="H49"/>
      <c r="I49"/>
    </row>
    <row r="50" spans="1:9" x14ac:dyDescent="0.2">
      <c r="A50"/>
      <c r="B50"/>
      <c r="C50"/>
      <c r="D50"/>
      <c r="E50"/>
      <c r="F50"/>
      <c r="G50"/>
      <c r="H50"/>
      <c r="I50"/>
    </row>
    <row r="51" spans="1:9" x14ac:dyDescent="0.2">
      <c r="A51"/>
      <c r="B51"/>
      <c r="C51"/>
      <c r="D51"/>
      <c r="E51"/>
      <c r="F51"/>
      <c r="G51"/>
      <c r="H51"/>
      <c r="I51"/>
    </row>
    <row r="52" spans="1:9" x14ac:dyDescent="0.2">
      <c r="A52"/>
      <c r="B52"/>
      <c r="C52"/>
      <c r="D52"/>
      <c r="E52"/>
      <c r="F52"/>
      <c r="G52"/>
      <c r="H52"/>
      <c r="I52"/>
    </row>
    <row r="53" spans="1:9" x14ac:dyDescent="0.2">
      <c r="A53"/>
      <c r="B53"/>
      <c r="C53"/>
      <c r="D53"/>
      <c r="E53"/>
      <c r="F53"/>
      <c r="G53"/>
      <c r="H53"/>
      <c r="I53"/>
    </row>
    <row r="54" spans="1:9" x14ac:dyDescent="0.2">
      <c r="A54"/>
      <c r="B54"/>
      <c r="C54"/>
      <c r="D54"/>
      <c r="E54"/>
      <c r="F54"/>
      <c r="G54"/>
      <c r="H54"/>
      <c r="I54"/>
    </row>
    <row r="55" spans="1:9" x14ac:dyDescent="0.2">
      <c r="A55"/>
      <c r="B55"/>
      <c r="C55"/>
      <c r="D55"/>
      <c r="E55"/>
      <c r="F55"/>
      <c r="G55"/>
      <c r="H55"/>
      <c r="I55"/>
    </row>
    <row r="56" spans="1:9" x14ac:dyDescent="0.2">
      <c r="A56"/>
      <c r="B56"/>
      <c r="C56"/>
      <c r="D56"/>
      <c r="E56"/>
      <c r="F56"/>
      <c r="G56"/>
      <c r="H56"/>
      <c r="I56"/>
    </row>
    <row r="57" spans="1:9" x14ac:dyDescent="0.2">
      <c r="A57"/>
      <c r="B57"/>
      <c r="C57"/>
      <c r="D57"/>
      <c r="E57"/>
      <c r="F57"/>
      <c r="G57"/>
      <c r="H57"/>
      <c r="I57"/>
    </row>
    <row r="58" spans="1:9" x14ac:dyDescent="0.2">
      <c r="A58"/>
      <c r="B58"/>
      <c r="C58"/>
      <c r="D58"/>
      <c r="E58"/>
      <c r="F58"/>
      <c r="G58"/>
      <c r="H58"/>
      <c r="I58"/>
    </row>
    <row r="59" spans="1:9" x14ac:dyDescent="0.2">
      <c r="A59"/>
      <c r="B59"/>
      <c r="C59"/>
      <c r="D59"/>
      <c r="E59"/>
      <c r="F59"/>
      <c r="G59"/>
      <c r="H59"/>
      <c r="I59"/>
    </row>
    <row r="60" spans="1:9" x14ac:dyDescent="0.2">
      <c r="A60"/>
      <c r="B60"/>
      <c r="C60"/>
      <c r="D60"/>
      <c r="E60"/>
      <c r="F60"/>
      <c r="G60"/>
      <c r="H60"/>
      <c r="I60"/>
    </row>
    <row r="61" spans="1:9" x14ac:dyDescent="0.2">
      <c r="A61"/>
      <c r="B61"/>
      <c r="C61"/>
      <c r="D61"/>
      <c r="E61"/>
      <c r="F61"/>
      <c r="G61"/>
      <c r="H61"/>
      <c r="I61"/>
    </row>
    <row r="62" spans="1:9" x14ac:dyDescent="0.2">
      <c r="A62"/>
      <c r="B62"/>
      <c r="C62"/>
      <c r="D62"/>
      <c r="E62"/>
      <c r="F62"/>
      <c r="G62"/>
      <c r="H62"/>
      <c r="I62"/>
    </row>
    <row r="63" spans="1:9" x14ac:dyDescent="0.2">
      <c r="A63"/>
      <c r="B63"/>
      <c r="C63"/>
      <c r="D63"/>
      <c r="E63"/>
      <c r="F63"/>
      <c r="G63"/>
      <c r="H63"/>
      <c r="I63"/>
    </row>
    <row r="64" spans="1:9" x14ac:dyDescent="0.2">
      <c r="A64"/>
      <c r="B64"/>
      <c r="C64"/>
      <c r="D64"/>
      <c r="E64"/>
      <c r="F64"/>
      <c r="G64"/>
      <c r="H64"/>
      <c r="I64"/>
    </row>
    <row r="65" spans="1:9" x14ac:dyDescent="0.2">
      <c r="A65"/>
      <c r="B65"/>
      <c r="C65"/>
      <c r="D65"/>
      <c r="E65"/>
      <c r="F65"/>
      <c r="G65"/>
      <c r="H65"/>
      <c r="I65"/>
    </row>
    <row r="66" spans="1:9" x14ac:dyDescent="0.2">
      <c r="A66"/>
      <c r="B66"/>
      <c r="C66"/>
      <c r="D66"/>
      <c r="E66"/>
      <c r="F66"/>
      <c r="G66"/>
      <c r="H66"/>
      <c r="I66"/>
    </row>
    <row r="67" spans="1:9" x14ac:dyDescent="0.2">
      <c r="A67"/>
      <c r="B67"/>
      <c r="C67"/>
      <c r="D67"/>
      <c r="E67"/>
      <c r="F67"/>
      <c r="G67"/>
      <c r="H67"/>
      <c r="I67"/>
    </row>
    <row r="68" spans="1:9" x14ac:dyDescent="0.2">
      <c r="A68"/>
      <c r="B68"/>
      <c r="C68"/>
      <c r="D68"/>
      <c r="E68"/>
      <c r="F68"/>
      <c r="G68"/>
      <c r="H68"/>
      <c r="I68"/>
    </row>
    <row r="69" spans="1:9" x14ac:dyDescent="0.2">
      <c r="A69"/>
      <c r="B69"/>
      <c r="C69"/>
      <c r="D69"/>
      <c r="E69"/>
      <c r="F69"/>
      <c r="G69"/>
      <c r="H69"/>
      <c r="I69"/>
    </row>
    <row r="70" spans="1:9" x14ac:dyDescent="0.2">
      <c r="A70"/>
      <c r="B70"/>
      <c r="C70"/>
      <c r="D70"/>
      <c r="E70"/>
      <c r="F70"/>
      <c r="G70"/>
      <c r="H70"/>
      <c r="I70"/>
    </row>
    <row r="71" spans="1:9" x14ac:dyDescent="0.2">
      <c r="A71"/>
      <c r="B71"/>
      <c r="C71"/>
      <c r="D71"/>
      <c r="E71"/>
      <c r="F71"/>
      <c r="G71"/>
      <c r="H71"/>
      <c r="I71"/>
    </row>
    <row r="72" spans="1:9" x14ac:dyDescent="0.2">
      <c r="A72"/>
      <c r="B72"/>
      <c r="C72"/>
      <c r="D72"/>
      <c r="E72"/>
      <c r="F72"/>
      <c r="G72"/>
      <c r="H72"/>
      <c r="I72"/>
    </row>
    <row r="73" spans="1:9" x14ac:dyDescent="0.2">
      <c r="A73"/>
      <c r="B73"/>
      <c r="C73"/>
      <c r="D73"/>
      <c r="E73"/>
      <c r="F73"/>
      <c r="G73"/>
      <c r="H73"/>
      <c r="I73"/>
    </row>
    <row r="74" spans="1:9" x14ac:dyDescent="0.2">
      <c r="A74"/>
      <c r="B74"/>
      <c r="C74"/>
      <c r="D74"/>
      <c r="E74"/>
      <c r="F74"/>
      <c r="G74"/>
      <c r="H74"/>
      <c r="I74"/>
    </row>
    <row r="75" spans="1:9" x14ac:dyDescent="0.2">
      <c r="A75"/>
      <c r="B75"/>
      <c r="C75"/>
      <c r="D75"/>
      <c r="E75"/>
      <c r="F75"/>
      <c r="G75"/>
      <c r="H75"/>
      <c r="I75"/>
    </row>
    <row r="76" spans="1:9" x14ac:dyDescent="0.2">
      <c r="A76"/>
      <c r="B76"/>
      <c r="C76"/>
      <c r="D76"/>
      <c r="E76"/>
      <c r="F76"/>
      <c r="G76"/>
      <c r="H76"/>
      <c r="I76"/>
    </row>
    <row r="77" spans="1:9" x14ac:dyDescent="0.2">
      <c r="A77"/>
      <c r="B77"/>
      <c r="C77"/>
      <c r="D77"/>
      <c r="E77"/>
      <c r="F77"/>
      <c r="G77"/>
      <c r="H77"/>
      <c r="I77"/>
    </row>
    <row r="78" spans="1:9" x14ac:dyDescent="0.2">
      <c r="A78"/>
      <c r="B78"/>
      <c r="C78"/>
      <c r="D78"/>
      <c r="E78"/>
      <c r="F78"/>
      <c r="G78"/>
      <c r="H78"/>
      <c r="I78"/>
    </row>
    <row r="79" spans="1:9" x14ac:dyDescent="0.2">
      <c r="A79"/>
      <c r="B79"/>
      <c r="C79"/>
      <c r="D79"/>
      <c r="E79"/>
      <c r="F79"/>
      <c r="G79"/>
      <c r="H79"/>
      <c r="I79"/>
    </row>
    <row r="80" spans="1:9" x14ac:dyDescent="0.2">
      <c r="A80"/>
      <c r="B80"/>
      <c r="C80"/>
      <c r="D80"/>
      <c r="E80"/>
      <c r="F80"/>
      <c r="G80"/>
      <c r="H80"/>
      <c r="I80"/>
    </row>
    <row r="81" spans="1:9" x14ac:dyDescent="0.2">
      <c r="A81"/>
      <c r="B81"/>
      <c r="C81"/>
      <c r="D81"/>
      <c r="E81"/>
      <c r="F81"/>
      <c r="G81"/>
      <c r="H81"/>
      <c r="I81"/>
    </row>
    <row r="82" spans="1:9" x14ac:dyDescent="0.2">
      <c r="A82"/>
      <c r="B82"/>
      <c r="C82"/>
      <c r="D82"/>
      <c r="E82"/>
      <c r="F82"/>
      <c r="G82"/>
      <c r="H82"/>
      <c r="I82"/>
    </row>
    <row r="83" spans="1:9" x14ac:dyDescent="0.2">
      <c r="A83"/>
      <c r="B83"/>
      <c r="C83"/>
      <c r="D83"/>
      <c r="E83"/>
      <c r="F83"/>
      <c r="G83"/>
      <c r="H83"/>
      <c r="I83"/>
    </row>
    <row r="84" spans="1:9" x14ac:dyDescent="0.2">
      <c r="A84"/>
      <c r="B84"/>
      <c r="C84"/>
      <c r="D84"/>
      <c r="E84"/>
      <c r="F84"/>
      <c r="G84"/>
      <c r="H84"/>
      <c r="I84"/>
    </row>
    <row r="85" spans="1:9" x14ac:dyDescent="0.2">
      <c r="A85"/>
      <c r="B85"/>
      <c r="C85"/>
      <c r="D85"/>
      <c r="E85"/>
      <c r="F85"/>
      <c r="G85"/>
      <c r="H85"/>
      <c r="I85"/>
    </row>
    <row r="86" spans="1:9" x14ac:dyDescent="0.2">
      <c r="A86"/>
      <c r="B86"/>
      <c r="C86"/>
      <c r="D86"/>
      <c r="E86"/>
      <c r="F86"/>
      <c r="G86"/>
      <c r="H86"/>
      <c r="I86"/>
    </row>
    <row r="87" spans="1:9" x14ac:dyDescent="0.2">
      <c r="A87"/>
      <c r="B87"/>
      <c r="C87"/>
      <c r="D87"/>
      <c r="E87"/>
      <c r="F87"/>
      <c r="G87"/>
      <c r="H87"/>
      <c r="I87"/>
    </row>
    <row r="88" spans="1:9" x14ac:dyDescent="0.2">
      <c r="A88"/>
      <c r="B88"/>
      <c r="C88"/>
      <c r="D88"/>
      <c r="E88"/>
      <c r="F88"/>
      <c r="G88"/>
      <c r="H88"/>
      <c r="I88"/>
    </row>
    <row r="89" spans="1:9" x14ac:dyDescent="0.2">
      <c r="A89"/>
      <c r="B89"/>
      <c r="C89"/>
      <c r="D89"/>
      <c r="E89"/>
      <c r="F89"/>
      <c r="G89"/>
      <c r="H89"/>
      <c r="I89"/>
    </row>
    <row r="90" spans="1:9" x14ac:dyDescent="0.2">
      <c r="B90"/>
      <c r="C90"/>
      <c r="D90"/>
      <c r="E90"/>
      <c r="F90"/>
      <c r="G90"/>
      <c r="H90"/>
      <c r="I90"/>
    </row>
    <row r="91" spans="1:9" x14ac:dyDescent="0.2">
      <c r="B91"/>
      <c r="C91"/>
      <c r="D91"/>
      <c r="E91"/>
      <c r="F91"/>
      <c r="G91"/>
      <c r="H91"/>
      <c r="I91"/>
    </row>
    <row r="92" spans="1:9" x14ac:dyDescent="0.2">
      <c r="B92"/>
      <c r="C92"/>
      <c r="D92"/>
      <c r="E92"/>
      <c r="F92"/>
      <c r="G92"/>
      <c r="H92"/>
      <c r="I92"/>
    </row>
    <row r="93" spans="1:9" x14ac:dyDescent="0.2">
      <c r="B93"/>
      <c r="C93"/>
      <c r="D93"/>
      <c r="E93"/>
      <c r="F93"/>
      <c r="G93"/>
      <c r="H93"/>
      <c r="I93"/>
    </row>
  </sheetData>
  <mergeCells count="1">
    <mergeCell ref="A1:K1"/>
  </mergeCells>
  <phoneticPr fontId="0" type="noConversion"/>
  <pageMargins left="0" right="0" top="0" bottom="0" header="0" footer="0"/>
  <pageSetup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workbookViewId="0">
      <selection activeCell="I45" sqref="I45"/>
    </sheetView>
  </sheetViews>
  <sheetFormatPr defaultColWidth="10" defaultRowHeight="12.75" x14ac:dyDescent="0.2"/>
  <cols>
    <col min="1" max="1" width="11.7109375" style="2" customWidth="1"/>
    <col min="2" max="2" width="31.42578125" style="2" customWidth="1"/>
    <col min="3" max="3" width="16.5703125" style="26" customWidth="1"/>
    <col min="4" max="4" width="2.28515625" style="26" customWidth="1"/>
    <col min="5" max="5" width="16.5703125" style="26" customWidth="1"/>
    <col min="6" max="6" width="2.28515625" style="26" customWidth="1"/>
    <col min="7" max="7" width="15.28515625" style="26" customWidth="1"/>
    <col min="8" max="8" width="2.28515625" style="26" customWidth="1"/>
    <col min="9" max="9" width="15.28515625" style="26" customWidth="1"/>
    <col min="10" max="10" width="2.28515625" customWidth="1"/>
    <col min="11" max="11" width="15" style="26" customWidth="1"/>
    <col min="12" max="12" width="15" style="2" customWidth="1"/>
    <col min="13" max="16384" width="10" style="2"/>
  </cols>
  <sheetData>
    <row r="1" spans="1:11" ht="12" customHeight="1" x14ac:dyDescent="0.2">
      <c r="A1" s="326" t="s">
        <v>309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1" ht="12" customHeight="1" x14ac:dyDescent="0.2"/>
    <row r="3" spans="1:11" ht="12" customHeight="1" x14ac:dyDescent="0.2">
      <c r="J3" s="37"/>
    </row>
    <row r="4" spans="1:11" ht="12" customHeight="1" x14ac:dyDescent="0.2">
      <c r="C4" s="42" t="str">
        <f>cover!C6</f>
        <v>APPROVED</v>
      </c>
      <c r="E4" s="42" t="str">
        <f>cover!E6</f>
        <v xml:space="preserve"> </v>
      </c>
      <c r="G4" s="42" t="s">
        <v>1</v>
      </c>
      <c r="H4" s="42"/>
      <c r="I4" s="126" t="s">
        <v>114</v>
      </c>
      <c r="J4" s="146"/>
      <c r="K4" s="126" t="s">
        <v>114</v>
      </c>
    </row>
    <row r="5" spans="1:11" ht="12" customHeight="1" x14ac:dyDescent="0.2">
      <c r="C5" s="42" t="str">
        <f>cover!C7</f>
        <v>BUDGET</v>
      </c>
      <c r="D5" s="305"/>
      <c r="E5" s="42" t="str">
        <f>cover!E7</f>
        <v>ACTUAL</v>
      </c>
      <c r="F5" s="305"/>
      <c r="G5" s="305" t="s">
        <v>3</v>
      </c>
      <c r="H5" s="305"/>
      <c r="I5" s="305" t="s">
        <v>3</v>
      </c>
      <c r="J5" s="146"/>
      <c r="K5" s="305" t="s">
        <v>3</v>
      </c>
    </row>
    <row r="6" spans="1:11" ht="12" customHeight="1" x14ac:dyDescent="0.2">
      <c r="A6" s="297"/>
      <c r="B6" s="297"/>
      <c r="C6" s="292" t="str">
        <f>cover!C8</f>
        <v>2010-11</v>
      </c>
      <c r="D6" s="292"/>
      <c r="E6" s="292" t="str">
        <f>cover!E8</f>
        <v>2010-11</v>
      </c>
      <c r="F6" s="292"/>
      <c r="G6" s="292" t="str">
        <f>cover!G8</f>
        <v>2011 -12</v>
      </c>
      <c r="H6" s="292"/>
      <c r="I6" s="292" t="str">
        <f>cover!I8</f>
        <v>2012 -13</v>
      </c>
      <c r="J6" s="306"/>
      <c r="K6" s="292" t="str">
        <f>cover!K8</f>
        <v>FY12/FY13</v>
      </c>
    </row>
    <row r="7" spans="1:11" ht="12" customHeight="1" x14ac:dyDescent="0.2">
      <c r="A7" s="2" t="s">
        <v>19</v>
      </c>
      <c r="J7" s="100"/>
      <c r="K7" s="243"/>
    </row>
    <row r="8" spans="1:11" ht="12" customHeight="1" x14ac:dyDescent="0.2">
      <c r="B8" s="13" t="s">
        <v>311</v>
      </c>
      <c r="C8" s="75">
        <v>0</v>
      </c>
      <c r="E8" s="25">
        <v>55.44</v>
      </c>
      <c r="G8" s="75">
        <f>SUM(G7:G7)</f>
        <v>0</v>
      </c>
      <c r="H8" s="43"/>
      <c r="I8" s="75">
        <f>SUM(I7:I7)</f>
        <v>0</v>
      </c>
      <c r="J8" s="100"/>
      <c r="K8" s="243">
        <v>0</v>
      </c>
    </row>
    <row r="9" spans="1:11" ht="12" customHeight="1" x14ac:dyDescent="0.2">
      <c r="B9" s="12" t="s">
        <v>20</v>
      </c>
      <c r="C9" s="74">
        <f>SUM(C8)</f>
        <v>0</v>
      </c>
      <c r="E9" s="41">
        <f>SUM(E8)</f>
        <v>55.44</v>
      </c>
      <c r="G9" s="74">
        <f>SUM(G8)</f>
        <v>0</v>
      </c>
      <c r="H9" s="43"/>
      <c r="I9" s="74">
        <f>SUM(I8)</f>
        <v>0</v>
      </c>
      <c r="J9" s="100"/>
      <c r="K9" s="244">
        <v>0</v>
      </c>
    </row>
    <row r="10" spans="1:11" ht="12" customHeight="1" x14ac:dyDescent="0.2">
      <c r="G10" s="43"/>
      <c r="H10" s="43"/>
      <c r="I10" s="43"/>
      <c r="J10" s="100"/>
      <c r="K10" s="243"/>
    </row>
    <row r="11" spans="1:11" ht="12" customHeight="1" x14ac:dyDescent="0.2">
      <c r="A11" s="2" t="s">
        <v>37</v>
      </c>
      <c r="G11" s="43"/>
      <c r="H11" s="43"/>
      <c r="I11" s="43"/>
      <c r="J11" s="100"/>
      <c r="K11" s="243"/>
    </row>
    <row r="12" spans="1:11" ht="12" hidden="1" customHeight="1" x14ac:dyDescent="0.2">
      <c r="A12" s="258"/>
      <c r="B12" s="258" t="s">
        <v>174</v>
      </c>
      <c r="C12" s="263"/>
      <c r="D12" s="263"/>
      <c r="E12" s="263"/>
      <c r="F12" s="263"/>
      <c r="G12" s="262"/>
      <c r="H12" s="262"/>
      <c r="I12" s="262"/>
      <c r="J12" s="260"/>
      <c r="K12" s="269"/>
    </row>
    <row r="13" spans="1:11" ht="12" customHeight="1" x14ac:dyDescent="0.2">
      <c r="B13" s="2" t="s">
        <v>215</v>
      </c>
      <c r="C13" s="43">
        <v>10809</v>
      </c>
      <c r="E13" s="26">
        <v>20290.12</v>
      </c>
      <c r="G13" s="43">
        <v>10809</v>
      </c>
      <c r="H13" s="43"/>
      <c r="I13" s="43">
        <f>+E13+(E13*0.03)</f>
        <v>20898.8236</v>
      </c>
      <c r="J13" s="100"/>
      <c r="K13" s="243">
        <f>+(I13-G13)/G13</f>
        <v>0.93346503839393091</v>
      </c>
    </row>
    <row r="14" spans="1:11" ht="12" customHeight="1" x14ac:dyDescent="0.2">
      <c r="B14" s="12" t="s">
        <v>23</v>
      </c>
      <c r="C14" s="74">
        <f>SUM(C12:C13)</f>
        <v>10809</v>
      </c>
      <c r="E14" s="41">
        <f>SUM(E13)</f>
        <v>20290.12</v>
      </c>
      <c r="G14" s="74">
        <f>SUM(G12:G13)</f>
        <v>10809</v>
      </c>
      <c r="H14" s="43"/>
      <c r="I14" s="74">
        <f>SUM(I12:I13)</f>
        <v>20898.8236</v>
      </c>
      <c r="J14" s="100"/>
      <c r="K14" s="244">
        <f>+(I14-G14)/G14</f>
        <v>0.93346503839393091</v>
      </c>
    </row>
    <row r="15" spans="1:11" ht="12" customHeight="1" x14ac:dyDescent="0.2">
      <c r="G15" s="43"/>
      <c r="H15" s="43"/>
      <c r="I15" s="43"/>
      <c r="J15" s="100"/>
      <c r="K15" s="243"/>
    </row>
    <row r="16" spans="1:11" ht="12" customHeight="1" x14ac:dyDescent="0.2">
      <c r="A16" s="2" t="s">
        <v>24</v>
      </c>
      <c r="G16" s="43"/>
      <c r="H16" s="43"/>
      <c r="I16" s="43"/>
      <c r="J16" s="100"/>
      <c r="K16" s="243"/>
    </row>
    <row r="17" spans="1:11" ht="12" customHeight="1" x14ac:dyDescent="0.2">
      <c r="B17" s="2" t="s">
        <v>175</v>
      </c>
      <c r="C17" s="75">
        <v>346</v>
      </c>
      <c r="E17" s="25">
        <v>778.14</v>
      </c>
      <c r="G17" s="75">
        <v>361</v>
      </c>
      <c r="H17" s="43"/>
      <c r="I17" s="75">
        <f>+I13*0.03</f>
        <v>626.96470799999997</v>
      </c>
      <c r="J17" s="100"/>
      <c r="K17" s="243">
        <f>+(I17-G17)/G17</f>
        <v>0.7367443434903046</v>
      </c>
    </row>
    <row r="18" spans="1:11" ht="12" customHeight="1" x14ac:dyDescent="0.2">
      <c r="B18" s="12" t="s">
        <v>38</v>
      </c>
      <c r="C18" s="74">
        <f>SUM(C17)</f>
        <v>346</v>
      </c>
      <c r="E18" s="41">
        <f>SUM(E17)</f>
        <v>778.14</v>
      </c>
      <c r="G18" s="74">
        <f>SUM(G17)</f>
        <v>361</v>
      </c>
      <c r="H18" s="43"/>
      <c r="I18" s="74">
        <f>SUM(I17)</f>
        <v>626.96470799999997</v>
      </c>
      <c r="J18" s="100"/>
      <c r="K18" s="244">
        <f>+(I18-G18)/G18</f>
        <v>0.7367443434903046</v>
      </c>
    </row>
    <row r="19" spans="1:11" ht="12" customHeight="1" x14ac:dyDescent="0.2">
      <c r="G19" s="43"/>
      <c r="H19" s="43"/>
      <c r="I19" s="43"/>
      <c r="J19" s="100"/>
      <c r="K19" s="243"/>
    </row>
    <row r="20" spans="1:11" ht="12" customHeight="1" x14ac:dyDescent="0.2">
      <c r="A20" s="2" t="s">
        <v>27</v>
      </c>
      <c r="G20" s="43"/>
      <c r="H20" s="43"/>
      <c r="I20" s="43"/>
      <c r="J20" s="100"/>
    </row>
    <row r="21" spans="1:11" ht="12" customHeight="1" x14ac:dyDescent="0.2">
      <c r="B21" s="13" t="s">
        <v>270</v>
      </c>
      <c r="C21" s="43">
        <v>1051</v>
      </c>
      <c r="E21" s="26">
        <v>1760.86</v>
      </c>
      <c r="G21" s="43">
        <f>1051</f>
        <v>1051</v>
      </c>
      <c r="H21" s="43"/>
      <c r="I21" s="43">
        <v>1800</v>
      </c>
      <c r="J21" s="100"/>
      <c r="K21" s="243">
        <f t="shared" ref="K21:K26" si="0">+(I21-G21)/G21</f>
        <v>0.71265461465271174</v>
      </c>
    </row>
    <row r="22" spans="1:11" ht="12" customHeight="1" x14ac:dyDescent="0.2">
      <c r="B22" s="13" t="s">
        <v>312</v>
      </c>
      <c r="C22" s="43">
        <v>21012</v>
      </c>
      <c r="E22" s="26">
        <v>19577.68</v>
      </c>
      <c r="G22" s="43">
        <v>21012</v>
      </c>
      <c r="H22" s="43"/>
      <c r="I22" s="43">
        <v>21432</v>
      </c>
      <c r="J22" s="100"/>
      <c r="K22" s="243">
        <f t="shared" si="0"/>
        <v>1.9988577955454025E-2</v>
      </c>
    </row>
    <row r="23" spans="1:11" x14ac:dyDescent="0.2">
      <c r="B23" s="2" t="s">
        <v>313</v>
      </c>
      <c r="C23" s="43">
        <v>4571</v>
      </c>
      <c r="E23" s="26">
        <v>10386.08</v>
      </c>
      <c r="G23" s="43">
        <f>5354</f>
        <v>5354</v>
      </c>
      <c r="H23" s="43"/>
      <c r="I23" s="43">
        <v>10386</v>
      </c>
      <c r="J23" s="100"/>
      <c r="K23" s="243">
        <f t="shared" si="0"/>
        <v>0.93985805005603285</v>
      </c>
    </row>
    <row r="24" spans="1:11" ht="12" customHeight="1" x14ac:dyDescent="0.2">
      <c r="B24" s="13" t="s">
        <v>314</v>
      </c>
      <c r="C24" s="43">
        <v>11132</v>
      </c>
      <c r="E24" s="26">
        <v>7065.57</v>
      </c>
      <c r="G24" s="43">
        <v>11132</v>
      </c>
      <c r="H24" s="43"/>
      <c r="I24" s="43">
        <v>11132</v>
      </c>
      <c r="J24" s="100"/>
      <c r="K24" s="243">
        <f t="shared" si="0"/>
        <v>0</v>
      </c>
    </row>
    <row r="25" spans="1:11" ht="12" customHeight="1" x14ac:dyDescent="0.2">
      <c r="B25" s="13" t="s">
        <v>305</v>
      </c>
      <c r="C25" s="43">
        <v>17073</v>
      </c>
      <c r="E25" s="26">
        <v>2152.56</v>
      </c>
      <c r="G25" s="43">
        <v>17073</v>
      </c>
      <c r="H25" s="43"/>
      <c r="I25" s="43">
        <v>17073</v>
      </c>
      <c r="J25" s="100"/>
      <c r="K25" s="243">
        <f t="shared" si="0"/>
        <v>0</v>
      </c>
    </row>
    <row r="26" spans="1:11" ht="12" customHeight="1" x14ac:dyDescent="0.2">
      <c r="B26" s="2" t="s">
        <v>315</v>
      </c>
      <c r="C26" s="43">
        <v>1082</v>
      </c>
      <c r="E26" s="26">
        <v>0</v>
      </c>
      <c r="G26" s="43">
        <v>1082</v>
      </c>
      <c r="H26" s="43"/>
      <c r="I26" s="43">
        <v>1082</v>
      </c>
      <c r="J26" s="100"/>
      <c r="K26" s="243">
        <f t="shared" si="0"/>
        <v>0</v>
      </c>
    </row>
    <row r="27" spans="1:11" ht="12" customHeight="1" x14ac:dyDescent="0.2">
      <c r="B27" s="12" t="s">
        <v>76</v>
      </c>
      <c r="C27" s="74">
        <f>SUM(C21:C26)</f>
        <v>55921</v>
      </c>
      <c r="E27" s="41">
        <f>SUM(E21:E26)</f>
        <v>40942.75</v>
      </c>
      <c r="G27" s="74">
        <f>SUM(G21:G26)</f>
        <v>56704</v>
      </c>
      <c r="H27" s="43"/>
      <c r="I27" s="74">
        <f>SUM(I21:I26)</f>
        <v>62905</v>
      </c>
      <c r="J27" s="100"/>
      <c r="K27" s="244">
        <f>+(I27-G27)/G27</f>
        <v>0.10935736455981941</v>
      </c>
    </row>
    <row r="28" spans="1:11" ht="12" customHeight="1" x14ac:dyDescent="0.2">
      <c r="G28" s="43"/>
      <c r="H28" s="43"/>
      <c r="I28" s="43"/>
      <c r="J28" s="100"/>
      <c r="K28" s="243"/>
    </row>
    <row r="29" spans="1:11" ht="12" customHeight="1" x14ac:dyDescent="0.2">
      <c r="B29" s="2" t="s">
        <v>33</v>
      </c>
      <c r="C29" s="75">
        <f>SUM(C14+C18+C27)</f>
        <v>67076</v>
      </c>
      <c r="E29" s="162">
        <f>SUM(E14+E18+E27)</f>
        <v>62011.009999999995</v>
      </c>
      <c r="G29" s="75">
        <f>SUM(G14+G18+G27)</f>
        <v>67874</v>
      </c>
      <c r="H29" s="43"/>
      <c r="I29" s="75">
        <f>SUM(I14+I17+I27)</f>
        <v>84430.788308000003</v>
      </c>
      <c r="J29" s="100"/>
      <c r="K29" s="245">
        <f t="shared" ref="K29" si="1">+(I29-G29)/G29</f>
        <v>0.24393417668031947</v>
      </c>
    </row>
    <row r="30" spans="1:11" ht="12" customHeight="1" x14ac:dyDescent="0.2">
      <c r="G30" s="43"/>
      <c r="H30" s="43"/>
      <c r="I30" s="43"/>
      <c r="J30" s="146"/>
      <c r="K30" s="243"/>
    </row>
    <row r="31" spans="1:11" ht="13.5" thickBot="1" x14ac:dyDescent="0.25">
      <c r="B31" s="2" t="s">
        <v>52</v>
      </c>
      <c r="C31" s="224">
        <f>SUM(C9-C29)</f>
        <v>-67076</v>
      </c>
      <c r="E31" s="225">
        <f>SUM(E9-E29)</f>
        <v>-61955.569999999992</v>
      </c>
      <c r="G31" s="224">
        <f>SUM(G9-G29)</f>
        <v>-67874</v>
      </c>
      <c r="H31" s="43"/>
      <c r="I31" s="224">
        <f>SUM(I8-I14-I17-I27)</f>
        <v>-84430.788308000003</v>
      </c>
      <c r="J31" s="100"/>
      <c r="K31" s="246">
        <f t="shared" ref="K31" si="2">+(I31-G31)/G31</f>
        <v>0.24393417668031947</v>
      </c>
    </row>
    <row r="32" spans="1:11" ht="13.5" thickTop="1" x14ac:dyDescent="0.2">
      <c r="G32" s="43"/>
      <c r="H32" s="43"/>
      <c r="I32" s="43"/>
    </row>
    <row r="33" spans="7:9" x14ac:dyDescent="0.2">
      <c r="I33" s="113"/>
    </row>
    <row r="34" spans="7:9" x14ac:dyDescent="0.2">
      <c r="G34"/>
      <c r="H34"/>
    </row>
  </sheetData>
  <mergeCells count="1">
    <mergeCell ref="A1:K1"/>
  </mergeCells>
  <phoneticPr fontId="0" type="noConversion"/>
  <pageMargins left="0" right="0" top="0" bottom="0" header="0" footer="0"/>
  <pageSetup scale="8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topLeftCell="C1" zoomScaleNormal="100" workbookViewId="0">
      <selection activeCell="M17" sqref="M17"/>
    </sheetView>
  </sheetViews>
  <sheetFormatPr defaultColWidth="10" defaultRowHeight="12.75" x14ac:dyDescent="0.2"/>
  <cols>
    <col min="1" max="1" width="8.28515625" style="2" customWidth="1"/>
    <col min="2" max="2" width="34.28515625" style="2" customWidth="1"/>
    <col min="3" max="3" width="17" style="26" customWidth="1"/>
    <col min="4" max="4" width="2.28515625" style="26" customWidth="1"/>
    <col min="5" max="5" width="17" style="26" customWidth="1"/>
    <col min="6" max="6" width="2.28515625" style="26" customWidth="1"/>
    <col min="7" max="7" width="16.42578125" style="26" customWidth="1"/>
    <col min="8" max="8" width="2.28515625" style="26" customWidth="1"/>
    <col min="9" max="9" width="15" style="26" customWidth="1"/>
    <col min="10" max="10" width="2.28515625" style="2" customWidth="1"/>
    <col min="11" max="11" width="10.85546875" style="2" customWidth="1"/>
    <col min="12" max="16384" width="10" style="2"/>
  </cols>
  <sheetData>
    <row r="1" spans="1:13" x14ac:dyDescent="0.2">
      <c r="A1" s="326" t="s">
        <v>327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3" x14ac:dyDescent="0.2">
      <c r="C2" s="2"/>
      <c r="D2" s="2"/>
      <c r="E2" s="2"/>
      <c r="F2" s="2"/>
      <c r="G2" s="2"/>
      <c r="H2" s="2"/>
      <c r="I2" s="2"/>
    </row>
    <row r="3" spans="1:13" x14ac:dyDescent="0.2">
      <c r="C3" s="42" t="str">
        <f>cover!C6</f>
        <v>APPROVED</v>
      </c>
      <c r="D3" s="2"/>
      <c r="E3" s="42" t="str">
        <f>cover!E6</f>
        <v xml:space="preserve"> </v>
      </c>
      <c r="F3" s="2"/>
      <c r="G3" s="42" t="str">
        <f>cover!G6</f>
        <v>APPROVED</v>
      </c>
      <c r="H3" s="42"/>
      <c r="I3" s="126" t="s">
        <v>114</v>
      </c>
      <c r="K3" s="126" t="s">
        <v>114</v>
      </c>
    </row>
    <row r="4" spans="1:13" x14ac:dyDescent="0.2">
      <c r="C4" s="42" t="str">
        <f>cover!C7</f>
        <v>BUDGET</v>
      </c>
      <c r="D4" s="42"/>
      <c r="E4" s="42" t="str">
        <f>cover!E7</f>
        <v>ACTUAL</v>
      </c>
      <c r="F4" s="42"/>
      <c r="G4" s="42" t="str">
        <f>cover!G7</f>
        <v>BUDGET</v>
      </c>
      <c r="H4" s="42"/>
      <c r="I4" s="42" t="str">
        <f>cover!I7</f>
        <v>BUDGET</v>
      </c>
      <c r="K4" s="42" t="str">
        <f>cover!K7</f>
        <v>CHANGE</v>
      </c>
    </row>
    <row r="5" spans="1:13" x14ac:dyDescent="0.2">
      <c r="A5" s="297"/>
      <c r="B5" s="297"/>
      <c r="C5" s="292" t="str">
        <f>cover!C8</f>
        <v>2010-11</v>
      </c>
      <c r="D5" s="292"/>
      <c r="E5" s="292" t="str">
        <f>cover!E8</f>
        <v>2010-11</v>
      </c>
      <c r="F5" s="292"/>
      <c r="G5" s="292" t="str">
        <f>cover!G8</f>
        <v>2011 -12</v>
      </c>
      <c r="H5" s="292"/>
      <c r="I5" s="292" t="str">
        <f>cover!I8</f>
        <v>2012 -13</v>
      </c>
      <c r="J5" s="297"/>
      <c r="K5" s="292" t="str">
        <f>cover!K8</f>
        <v>FY12/FY13</v>
      </c>
    </row>
    <row r="6" spans="1:13" x14ac:dyDescent="0.2">
      <c r="A6" s="2" t="s">
        <v>19</v>
      </c>
      <c r="C6" s="26" t="s">
        <v>104</v>
      </c>
      <c r="G6" s="26" t="s">
        <v>104</v>
      </c>
    </row>
    <row r="7" spans="1:13" x14ac:dyDescent="0.2">
      <c r="B7" s="2" t="s">
        <v>414</v>
      </c>
      <c r="C7" s="43">
        <v>46192</v>
      </c>
      <c r="E7" s="26">
        <v>4261.68</v>
      </c>
      <c r="G7" s="43">
        <v>46192</v>
      </c>
      <c r="H7" s="43"/>
      <c r="I7" s="43">
        <v>26500</v>
      </c>
      <c r="K7" s="234">
        <f>+(I7-G7)/G7</f>
        <v>-0.42630758572913058</v>
      </c>
    </row>
    <row r="8" spans="1:13" x14ac:dyDescent="0.2">
      <c r="B8" s="2" t="s">
        <v>316</v>
      </c>
      <c r="C8" s="43">
        <v>3000</v>
      </c>
      <c r="E8" s="26">
        <v>486</v>
      </c>
      <c r="G8" s="43">
        <v>3000</v>
      </c>
      <c r="H8" s="43"/>
      <c r="I8" s="43">
        <f>486+2400</f>
        <v>2886</v>
      </c>
      <c r="K8" s="234">
        <f>+(I8-G8)/G8</f>
        <v>-3.7999999999999999E-2</v>
      </c>
    </row>
    <row r="9" spans="1:13" x14ac:dyDescent="0.2">
      <c r="B9" s="2" t="s">
        <v>318</v>
      </c>
      <c r="C9" s="43">
        <v>4737</v>
      </c>
      <c r="E9" s="26">
        <v>3489</v>
      </c>
      <c r="G9" s="43">
        <v>4737</v>
      </c>
      <c r="H9" s="43"/>
      <c r="I9" s="43">
        <v>3489</v>
      </c>
      <c r="K9" s="234">
        <f>+(I9-G9)/G9</f>
        <v>-0.26345788473717541</v>
      </c>
    </row>
    <row r="10" spans="1:13" x14ac:dyDescent="0.2">
      <c r="B10" s="2" t="s">
        <v>317</v>
      </c>
      <c r="C10" s="43">
        <v>2927</v>
      </c>
      <c r="E10" s="26">
        <v>0</v>
      </c>
      <c r="G10" s="43">
        <v>0</v>
      </c>
      <c r="H10" s="43"/>
      <c r="I10" s="43">
        <v>0</v>
      </c>
      <c r="K10" s="234">
        <v>0</v>
      </c>
    </row>
    <row r="11" spans="1:13" x14ac:dyDescent="0.2">
      <c r="B11" s="12" t="s">
        <v>20</v>
      </c>
      <c r="C11" s="41">
        <f>SUM(C7:C10)</f>
        <v>56856</v>
      </c>
      <c r="E11" s="41">
        <f>SUM(E7:E10)</f>
        <v>8236.68</v>
      </c>
      <c r="G11" s="74">
        <f>SUM(G7:G10)</f>
        <v>53929</v>
      </c>
      <c r="H11" s="43"/>
      <c r="I11" s="74">
        <f>SUM(I7:I10)</f>
        <v>32875</v>
      </c>
      <c r="K11" s="235">
        <f>+(I11-G11)/G11</f>
        <v>-0.39040219547924121</v>
      </c>
    </row>
    <row r="12" spans="1:13" x14ac:dyDescent="0.2">
      <c r="G12" s="43"/>
      <c r="H12" s="43"/>
      <c r="I12" s="43"/>
    </row>
    <row r="13" spans="1:13" x14ac:dyDescent="0.2">
      <c r="G13" s="43"/>
      <c r="H13" s="43"/>
      <c r="I13" s="43"/>
    </row>
    <row r="14" spans="1:13" x14ac:dyDescent="0.2">
      <c r="A14" s="2" t="s">
        <v>37</v>
      </c>
      <c r="G14" s="43"/>
      <c r="H14" s="43"/>
      <c r="I14" s="43"/>
    </row>
    <row r="15" spans="1:13" x14ac:dyDescent="0.2">
      <c r="G15" s="43"/>
      <c r="H15" s="43"/>
      <c r="I15" s="43"/>
    </row>
    <row r="16" spans="1:13" x14ac:dyDescent="0.2">
      <c r="B16" s="2" t="s">
        <v>319</v>
      </c>
      <c r="C16" s="43">
        <v>173528</v>
      </c>
      <c r="E16" s="26">
        <v>192092.79</v>
      </c>
      <c r="G16" s="43">
        <v>207403</v>
      </c>
      <c r="H16" s="43"/>
      <c r="I16" s="43">
        <v>180542.04</v>
      </c>
      <c r="K16" s="234">
        <f t="shared" ref="K16:K17" si="0">+(I16-G16)/G16</f>
        <v>-0.12951095210773225</v>
      </c>
      <c r="M16" s="2" t="s">
        <v>430</v>
      </c>
    </row>
    <row r="17" spans="1:13" x14ac:dyDescent="0.2">
      <c r="B17" s="2" t="s">
        <v>258</v>
      </c>
      <c r="C17" s="43">
        <v>66075</v>
      </c>
      <c r="E17" s="26">
        <v>58399.41</v>
      </c>
      <c r="G17" s="43">
        <v>68753</v>
      </c>
      <c r="H17" s="43"/>
      <c r="I17" s="43">
        <f>40830+28128</f>
        <v>68958</v>
      </c>
      <c r="K17" s="234">
        <f t="shared" si="0"/>
        <v>2.9816880717932308E-3</v>
      </c>
      <c r="M17" s="2" t="s">
        <v>431</v>
      </c>
    </row>
    <row r="18" spans="1:13" x14ac:dyDescent="0.2">
      <c r="B18" s="2" t="s">
        <v>172</v>
      </c>
      <c r="C18" s="43">
        <v>0</v>
      </c>
      <c r="E18" s="26">
        <v>2498.0100000000002</v>
      </c>
      <c r="G18" s="43">
        <v>0</v>
      </c>
      <c r="H18" s="43"/>
      <c r="I18" s="43">
        <v>0</v>
      </c>
      <c r="K18" s="234">
        <v>0</v>
      </c>
      <c r="M18" s="2" t="s">
        <v>433</v>
      </c>
    </row>
    <row r="19" spans="1:13" x14ac:dyDescent="0.2">
      <c r="B19" s="12" t="s">
        <v>23</v>
      </c>
      <c r="C19" s="74">
        <f>SUM(C16:C18)</f>
        <v>239603</v>
      </c>
      <c r="E19" s="41">
        <f>SUM(E16:E18)</f>
        <v>252990.21000000002</v>
      </c>
      <c r="G19" s="74">
        <f>SUM(G16:G18)</f>
        <v>276156</v>
      </c>
      <c r="H19" s="43"/>
      <c r="I19" s="74">
        <f>SUM(I16:I18)</f>
        <v>249500.04</v>
      </c>
      <c r="K19" s="235">
        <f>+(I19-G19)/G19</f>
        <v>-9.6525007604397486E-2</v>
      </c>
    </row>
    <row r="20" spans="1:13" x14ac:dyDescent="0.2">
      <c r="G20" s="43"/>
      <c r="H20" s="43"/>
      <c r="I20" s="43"/>
    </row>
    <row r="21" spans="1:13" x14ac:dyDescent="0.2">
      <c r="A21" s="2" t="s">
        <v>24</v>
      </c>
      <c r="G21" s="43"/>
      <c r="H21" s="43"/>
      <c r="I21" s="43"/>
    </row>
    <row r="22" spans="1:13" x14ac:dyDescent="0.2">
      <c r="B22" s="2" t="s">
        <v>175</v>
      </c>
      <c r="C22" s="75">
        <f>92964+48141</f>
        <v>141105</v>
      </c>
      <c r="E22" s="25">
        <v>119760.46</v>
      </c>
      <c r="G22" s="75">
        <v>157265</v>
      </c>
      <c r="H22" s="43"/>
      <c r="I22" s="75">
        <f>14784+11677.38+44298+51566.38+(I18*0.03)+22828.61</f>
        <v>145154.37</v>
      </c>
      <c r="K22" s="234">
        <f>+(I22-G22)/G22</f>
        <v>-7.7007789400057258E-2</v>
      </c>
      <c r="M22" s="2" t="s">
        <v>435</v>
      </c>
    </row>
    <row r="23" spans="1:13" x14ac:dyDescent="0.2">
      <c r="B23" s="12" t="s">
        <v>419</v>
      </c>
      <c r="C23" s="74">
        <f>SUM(C22)</f>
        <v>141105</v>
      </c>
      <c r="E23" s="41">
        <f>SUM(E22)</f>
        <v>119760.46</v>
      </c>
      <c r="G23" s="74">
        <f>SUM(G22)</f>
        <v>157265</v>
      </c>
      <c r="H23" s="43"/>
      <c r="I23" s="74">
        <f>SUM(I22)</f>
        <v>145154.37</v>
      </c>
      <c r="K23" s="235">
        <f>+(I23-G23)/G23</f>
        <v>-7.7007789400057258E-2</v>
      </c>
    </row>
    <row r="24" spans="1:13" x14ac:dyDescent="0.2">
      <c r="G24" s="43"/>
      <c r="H24" s="43"/>
      <c r="I24" s="43"/>
    </row>
    <row r="25" spans="1:13" x14ac:dyDescent="0.2">
      <c r="A25" s="2" t="s">
        <v>27</v>
      </c>
      <c r="G25" s="43"/>
      <c r="H25" s="43"/>
      <c r="I25" s="43"/>
    </row>
    <row r="26" spans="1:13" x14ac:dyDescent="0.2">
      <c r="B26" s="13" t="s">
        <v>320</v>
      </c>
      <c r="C26" s="43">
        <v>281</v>
      </c>
      <c r="E26" s="26">
        <v>2181.0300000000002</v>
      </c>
      <c r="G26" s="43">
        <v>418</v>
      </c>
      <c r="H26" s="43"/>
      <c r="I26" s="43">
        <v>2180</v>
      </c>
      <c r="K26" s="234">
        <f t="shared" ref="K26:K28" si="1">+(I26-G26)/G26</f>
        <v>4.2153110047846889</v>
      </c>
    </row>
    <row r="27" spans="1:13" x14ac:dyDescent="0.2">
      <c r="B27" s="2" t="s">
        <v>321</v>
      </c>
      <c r="C27" s="43">
        <v>2574</v>
      </c>
      <c r="E27" s="26">
        <v>2990.78</v>
      </c>
      <c r="G27" s="43">
        <v>2574</v>
      </c>
      <c r="H27" s="43"/>
      <c r="I27" s="43">
        <v>2990</v>
      </c>
      <c r="K27" s="234">
        <f t="shared" si="1"/>
        <v>0.16161616161616163</v>
      </c>
    </row>
    <row r="28" spans="1:13" x14ac:dyDescent="0.2">
      <c r="B28" s="2" t="s">
        <v>180</v>
      </c>
      <c r="C28" s="43">
        <v>2218</v>
      </c>
      <c r="E28" s="26">
        <v>815.39</v>
      </c>
      <c r="G28" s="43">
        <v>2218</v>
      </c>
      <c r="H28" s="43"/>
      <c r="I28" s="43">
        <v>815</v>
      </c>
      <c r="K28" s="234">
        <f t="shared" si="1"/>
        <v>-0.63255184851217316</v>
      </c>
    </row>
    <row r="29" spans="1:13" x14ac:dyDescent="0.2">
      <c r="B29" s="13" t="s">
        <v>325</v>
      </c>
      <c r="C29" s="43">
        <v>0</v>
      </c>
      <c r="E29" s="26">
        <v>168.85</v>
      </c>
      <c r="G29" s="43">
        <v>0</v>
      </c>
      <c r="H29" s="43"/>
      <c r="I29" s="43">
        <v>0</v>
      </c>
      <c r="K29" s="291">
        <v>0</v>
      </c>
    </row>
    <row r="30" spans="1:13" x14ac:dyDescent="0.2">
      <c r="B30" s="13" t="s">
        <v>326</v>
      </c>
      <c r="C30" s="43">
        <v>0</v>
      </c>
      <c r="E30" s="26">
        <v>1459.6</v>
      </c>
      <c r="G30" s="43">
        <v>0</v>
      </c>
      <c r="H30" s="43"/>
      <c r="I30" s="43">
        <v>0</v>
      </c>
      <c r="K30" s="291">
        <v>0</v>
      </c>
    </row>
    <row r="31" spans="1:13" x14ac:dyDescent="0.2">
      <c r="B31" s="13" t="s">
        <v>322</v>
      </c>
      <c r="C31" s="43">
        <v>0</v>
      </c>
      <c r="E31" s="26">
        <v>1660</v>
      </c>
      <c r="G31" s="43">
        <v>0</v>
      </c>
      <c r="H31" s="43"/>
      <c r="I31" s="43">
        <v>0</v>
      </c>
      <c r="K31" s="291">
        <v>0</v>
      </c>
    </row>
    <row r="32" spans="1:13" x14ac:dyDescent="0.2">
      <c r="B32" s="13" t="s">
        <v>291</v>
      </c>
      <c r="C32" s="43">
        <v>2218</v>
      </c>
      <c r="E32" s="26">
        <v>543.69000000000005</v>
      </c>
      <c r="G32" s="43">
        <v>2218</v>
      </c>
      <c r="H32" s="43"/>
      <c r="I32" s="43">
        <v>545</v>
      </c>
      <c r="K32" s="234">
        <f t="shared" ref="K32:K34" si="2">+(I32-G32)/G32</f>
        <v>-0.75428313796212809</v>
      </c>
    </row>
    <row r="33" spans="2:15" x14ac:dyDescent="0.2">
      <c r="B33" s="13" t="s">
        <v>323</v>
      </c>
      <c r="C33" s="43">
        <v>244</v>
      </c>
      <c r="E33" s="26">
        <v>247.5</v>
      </c>
      <c r="G33" s="43">
        <v>500</v>
      </c>
      <c r="H33" s="43"/>
      <c r="I33" s="43">
        <v>500</v>
      </c>
      <c r="K33" s="234">
        <f t="shared" si="2"/>
        <v>0</v>
      </c>
    </row>
    <row r="34" spans="2:15" x14ac:dyDescent="0.2">
      <c r="B34" s="13" t="s">
        <v>324</v>
      </c>
      <c r="C34" s="43">
        <v>3787</v>
      </c>
      <c r="E34" s="26">
        <v>1870.86</v>
      </c>
      <c r="G34" s="43">
        <v>18000</v>
      </c>
      <c r="H34" s="43"/>
      <c r="I34" s="43">
        <v>18000</v>
      </c>
      <c r="K34" s="234">
        <f t="shared" si="2"/>
        <v>0</v>
      </c>
    </row>
    <row r="35" spans="2:15" x14ac:dyDescent="0.2">
      <c r="B35" s="12" t="s">
        <v>76</v>
      </c>
      <c r="C35" s="74">
        <f>SUM(C26:C34)</f>
        <v>11322</v>
      </c>
      <c r="E35" s="41">
        <f>SUM(E26:E34)</f>
        <v>11937.700000000003</v>
      </c>
      <c r="G35" s="74">
        <f>SUM(G26:G34)</f>
        <v>25928</v>
      </c>
      <c r="H35" s="43"/>
      <c r="I35" s="74">
        <f>SUM(I26:I34)</f>
        <v>25030</v>
      </c>
      <c r="K35" s="235">
        <f>+(I35-G35)/G35</f>
        <v>-3.4634372107374266E-2</v>
      </c>
      <c r="N35" s="53">
        <f>+(2327*6)+(2361*6)</f>
        <v>28128</v>
      </c>
      <c r="O35" s="2" t="s">
        <v>432</v>
      </c>
    </row>
    <row r="36" spans="2:15" x14ac:dyDescent="0.2">
      <c r="C36" s="43"/>
      <c r="G36" s="43"/>
      <c r="H36" s="43"/>
      <c r="I36" s="43"/>
    </row>
    <row r="37" spans="2:15" x14ac:dyDescent="0.2">
      <c r="B37" s="13" t="s">
        <v>33</v>
      </c>
      <c r="C37" s="75">
        <f>SUM(C35+C23+C19)</f>
        <v>392030</v>
      </c>
      <c r="E37" s="162">
        <f>SUM(E35+E23+E19)</f>
        <v>384688.37</v>
      </c>
      <c r="G37" s="75">
        <f>SUM(G35+G23+G19)</f>
        <v>459349</v>
      </c>
      <c r="H37" s="43"/>
      <c r="I37" s="75">
        <f>SUM(I35+I23+I19)</f>
        <v>419684.41000000003</v>
      </c>
      <c r="K37" s="241">
        <f t="shared" ref="K37" si="3">+(I37-G37)/G37</f>
        <v>-8.6349572982634043E-2</v>
      </c>
      <c r="N37" s="53">
        <f>14784+(N35*0.286)</f>
        <v>22828.608</v>
      </c>
      <c r="O37" s="2" t="s">
        <v>434</v>
      </c>
    </row>
    <row r="38" spans="2:15" x14ac:dyDescent="0.2">
      <c r="G38" s="43"/>
      <c r="H38" s="43"/>
      <c r="I38" s="43"/>
    </row>
    <row r="39" spans="2:15" ht="13.5" thickBot="1" x14ac:dyDescent="0.25">
      <c r="B39" s="2" t="s">
        <v>52</v>
      </c>
      <c r="C39" s="224">
        <f>SUM(C11-C37)</f>
        <v>-335174</v>
      </c>
      <c r="E39" s="225">
        <f>SUM(E11-E37)</f>
        <v>-376451.69</v>
      </c>
      <c r="G39" s="224">
        <f>SUM(G11-G37)</f>
        <v>-405420</v>
      </c>
      <c r="H39" s="43"/>
      <c r="I39" s="224">
        <f>SUM(I11-I19-I23-I35)</f>
        <v>-386809.41000000003</v>
      </c>
      <c r="K39" s="242">
        <f t="shared" ref="K39" si="4">+(I39-G39)/G39</f>
        <v>-4.5904469439100114E-2</v>
      </c>
    </row>
    <row r="40" spans="2:15" ht="13.5" thickTop="1" x14ac:dyDescent="0.2">
      <c r="G40" s="37"/>
      <c r="H40" s="37"/>
      <c r="I40" s="146"/>
    </row>
    <row r="41" spans="2:15" x14ac:dyDescent="0.2">
      <c r="B41" s="37"/>
      <c r="C41" s="37"/>
      <c r="D41" s="37"/>
      <c r="E41" s="37"/>
      <c r="F41" s="37"/>
      <c r="G41" s="37"/>
      <c r="H41" s="37"/>
      <c r="I41" s="146"/>
    </row>
    <row r="42" spans="2:15" x14ac:dyDescent="0.2">
      <c r="G42" s="37"/>
      <c r="H42" s="37"/>
      <c r="I42" s="146"/>
    </row>
    <row r="43" spans="2:15" x14ac:dyDescent="0.2">
      <c r="G43" s="37"/>
      <c r="H43" s="37"/>
      <c r="I43" s="146"/>
    </row>
    <row r="44" spans="2:15" x14ac:dyDescent="0.2">
      <c r="G44" s="37"/>
      <c r="H44" s="37"/>
      <c r="I44" s="146"/>
    </row>
    <row r="45" spans="2:15" x14ac:dyDescent="0.2">
      <c r="G45" s="37"/>
      <c r="H45" s="37"/>
      <c r="I45" s="146"/>
    </row>
    <row r="46" spans="2:15" x14ac:dyDescent="0.2">
      <c r="G46" s="37"/>
      <c r="H46" s="37"/>
      <c r="I46" s="146"/>
    </row>
    <row r="47" spans="2:15" x14ac:dyDescent="0.2">
      <c r="G47" s="37"/>
      <c r="H47" s="37"/>
      <c r="I47" s="146"/>
    </row>
    <row r="48" spans="2:15" x14ac:dyDescent="0.2">
      <c r="G48" s="37"/>
      <c r="H48" s="37"/>
      <c r="I48" s="146"/>
    </row>
    <row r="49" spans="7:9" x14ac:dyDescent="0.2">
      <c r="G49" s="37"/>
      <c r="H49" s="37"/>
      <c r="I49" s="146"/>
    </row>
    <row r="50" spans="7:9" x14ac:dyDescent="0.2">
      <c r="G50" s="37"/>
      <c r="H50" s="37"/>
      <c r="I50" s="146"/>
    </row>
    <row r="51" spans="7:9" x14ac:dyDescent="0.2">
      <c r="G51" s="37"/>
      <c r="H51" s="37"/>
      <c r="I51" s="146"/>
    </row>
    <row r="52" spans="7:9" x14ac:dyDescent="0.2">
      <c r="G52" s="37"/>
      <c r="H52" s="37"/>
      <c r="I52" s="146"/>
    </row>
    <row r="53" spans="7:9" x14ac:dyDescent="0.2">
      <c r="G53" s="37"/>
      <c r="H53" s="37"/>
      <c r="I53" s="146"/>
    </row>
    <row r="54" spans="7:9" x14ac:dyDescent="0.2">
      <c r="G54" s="37"/>
      <c r="H54" s="37"/>
      <c r="I54" s="146"/>
    </row>
    <row r="55" spans="7:9" x14ac:dyDescent="0.2">
      <c r="G55" s="37"/>
      <c r="H55" s="37"/>
      <c r="I55" s="146"/>
    </row>
    <row r="56" spans="7:9" x14ac:dyDescent="0.2">
      <c r="G56" s="37"/>
      <c r="H56" s="37"/>
      <c r="I56" s="146"/>
    </row>
    <row r="57" spans="7:9" x14ac:dyDescent="0.2">
      <c r="G57" s="37"/>
      <c r="H57" s="37"/>
      <c r="I57" s="146"/>
    </row>
    <row r="58" spans="7:9" x14ac:dyDescent="0.2">
      <c r="G58" s="37"/>
      <c r="H58" s="37"/>
      <c r="I58" s="146"/>
    </row>
    <row r="59" spans="7:9" x14ac:dyDescent="0.2">
      <c r="G59" s="37"/>
      <c r="H59" s="37"/>
      <c r="I59" s="146"/>
    </row>
    <row r="60" spans="7:9" x14ac:dyDescent="0.2">
      <c r="G60" s="37"/>
      <c r="H60" s="37"/>
      <c r="I60" s="146"/>
    </row>
    <row r="61" spans="7:9" x14ac:dyDescent="0.2">
      <c r="G61" s="37"/>
      <c r="H61" s="37"/>
      <c r="I61" s="146"/>
    </row>
    <row r="62" spans="7:9" x14ac:dyDescent="0.2">
      <c r="G62" s="37"/>
      <c r="H62" s="37"/>
      <c r="I62" s="146"/>
    </row>
    <row r="63" spans="7:9" x14ac:dyDescent="0.2">
      <c r="G63" s="37"/>
      <c r="H63" s="37"/>
      <c r="I63" s="146"/>
    </row>
    <row r="64" spans="7:9" x14ac:dyDescent="0.2">
      <c r="G64" s="37"/>
      <c r="H64" s="37"/>
      <c r="I64" s="146"/>
    </row>
    <row r="65" spans="7:9" x14ac:dyDescent="0.2">
      <c r="G65" s="37"/>
      <c r="H65" s="37"/>
      <c r="I65" s="146"/>
    </row>
    <row r="66" spans="7:9" x14ac:dyDescent="0.2">
      <c r="G66" s="37"/>
      <c r="H66" s="37"/>
      <c r="I66" s="146"/>
    </row>
    <row r="67" spans="7:9" x14ac:dyDescent="0.2">
      <c r="G67" s="37"/>
      <c r="H67" s="37"/>
      <c r="I67" s="146"/>
    </row>
    <row r="68" spans="7:9" x14ac:dyDescent="0.2">
      <c r="G68" s="37"/>
      <c r="H68" s="37"/>
      <c r="I68" s="146"/>
    </row>
    <row r="69" spans="7:9" x14ac:dyDescent="0.2">
      <c r="G69" s="37"/>
      <c r="H69" s="37"/>
      <c r="I69" s="146"/>
    </row>
    <row r="70" spans="7:9" x14ac:dyDescent="0.2">
      <c r="G70" s="37"/>
      <c r="H70" s="37"/>
      <c r="I70" s="146"/>
    </row>
    <row r="71" spans="7:9" x14ac:dyDescent="0.2">
      <c r="G71" s="37"/>
      <c r="H71" s="37"/>
      <c r="I71" s="146"/>
    </row>
    <row r="72" spans="7:9" x14ac:dyDescent="0.2">
      <c r="G72" s="37"/>
      <c r="H72" s="37"/>
      <c r="I72" s="146"/>
    </row>
    <row r="73" spans="7:9" x14ac:dyDescent="0.2">
      <c r="G73" s="37"/>
      <c r="H73" s="37"/>
      <c r="I73" s="146"/>
    </row>
    <row r="74" spans="7:9" x14ac:dyDescent="0.2">
      <c r="G74" s="37"/>
      <c r="H74" s="37"/>
      <c r="I74" s="146"/>
    </row>
    <row r="75" spans="7:9" x14ac:dyDescent="0.2">
      <c r="G75" s="37"/>
      <c r="H75" s="37"/>
      <c r="I75" s="146"/>
    </row>
    <row r="76" spans="7:9" x14ac:dyDescent="0.2">
      <c r="G76" s="37"/>
      <c r="H76" s="37"/>
      <c r="I76" s="146"/>
    </row>
    <row r="77" spans="7:9" x14ac:dyDescent="0.2">
      <c r="G77" s="37"/>
      <c r="H77" s="37"/>
      <c r="I77" s="146"/>
    </row>
    <row r="78" spans="7:9" x14ac:dyDescent="0.2">
      <c r="G78" s="37"/>
      <c r="H78" s="37"/>
      <c r="I78" s="146"/>
    </row>
    <row r="79" spans="7:9" x14ac:dyDescent="0.2">
      <c r="G79" s="37"/>
      <c r="H79" s="37"/>
      <c r="I79" s="146"/>
    </row>
    <row r="80" spans="7:9" x14ac:dyDescent="0.2">
      <c r="G80" s="37"/>
      <c r="H80" s="37"/>
      <c r="I80" s="146"/>
    </row>
    <row r="81" spans="7:9" x14ac:dyDescent="0.2">
      <c r="G81" s="37"/>
      <c r="H81" s="37"/>
      <c r="I81" s="146"/>
    </row>
    <row r="82" spans="7:9" x14ac:dyDescent="0.2">
      <c r="G82" s="37"/>
      <c r="H82" s="37"/>
      <c r="I82" s="146"/>
    </row>
    <row r="83" spans="7:9" x14ac:dyDescent="0.2">
      <c r="G83" s="37"/>
      <c r="H83" s="37"/>
      <c r="I83" s="146"/>
    </row>
    <row r="84" spans="7:9" x14ac:dyDescent="0.2">
      <c r="G84" s="37"/>
      <c r="H84" s="37"/>
      <c r="I84" s="146"/>
    </row>
    <row r="85" spans="7:9" x14ac:dyDescent="0.2">
      <c r="G85" s="37"/>
      <c r="H85" s="37"/>
      <c r="I85" s="146"/>
    </row>
    <row r="86" spans="7:9" x14ac:dyDescent="0.2">
      <c r="G86" s="37"/>
      <c r="H86" s="37"/>
      <c r="I86" s="146"/>
    </row>
    <row r="87" spans="7:9" x14ac:dyDescent="0.2">
      <c r="G87" s="37"/>
      <c r="H87" s="37"/>
      <c r="I87" s="146"/>
    </row>
    <row r="88" spans="7:9" x14ac:dyDescent="0.2">
      <c r="G88" s="37"/>
      <c r="H88" s="37"/>
      <c r="I88" s="146"/>
    </row>
    <row r="89" spans="7:9" x14ac:dyDescent="0.2">
      <c r="G89" s="37"/>
      <c r="H89" s="37"/>
      <c r="I89" s="146"/>
    </row>
    <row r="90" spans="7:9" x14ac:dyDescent="0.2">
      <c r="G90" s="37"/>
      <c r="H90" s="37"/>
      <c r="I90" s="146"/>
    </row>
    <row r="91" spans="7:9" x14ac:dyDescent="0.2">
      <c r="G91" s="37"/>
      <c r="H91" s="37"/>
      <c r="I91" s="146"/>
    </row>
    <row r="92" spans="7:9" x14ac:dyDescent="0.2">
      <c r="G92" s="37"/>
      <c r="H92" s="37"/>
      <c r="I92" s="146"/>
    </row>
  </sheetData>
  <mergeCells count="1">
    <mergeCell ref="A1:K1"/>
  </mergeCells>
  <phoneticPr fontId="0" type="noConversion"/>
  <pageMargins left="0" right="0" top="0" bottom="0" header="0" footer="0"/>
  <pageSetup scale="8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2"/>
  <sheetViews>
    <sheetView topLeftCell="A416" workbookViewId="0">
      <selection activeCell="I16" sqref="I16"/>
    </sheetView>
  </sheetViews>
  <sheetFormatPr defaultColWidth="10" defaultRowHeight="12" x14ac:dyDescent="0.2"/>
  <cols>
    <col min="1" max="1" width="8.28515625" style="6" customWidth="1"/>
    <col min="2" max="2" width="33.42578125" style="6" bestFit="1" customWidth="1"/>
    <col min="3" max="3" width="16.28515625" style="16" customWidth="1"/>
    <col min="4" max="4" width="2.28515625" style="16" customWidth="1"/>
    <col min="5" max="5" width="16.28515625" style="16" customWidth="1"/>
    <col min="6" max="6" width="2.28515625" style="16" customWidth="1"/>
    <col min="7" max="7" width="15.7109375" style="16" customWidth="1"/>
    <col min="8" max="8" width="2.28515625" style="16" customWidth="1"/>
    <col min="9" max="9" width="15.85546875" style="16" customWidth="1"/>
    <col min="10" max="10" width="2.28515625" style="6" customWidth="1"/>
    <col min="11" max="11" width="12.140625" style="6" customWidth="1"/>
    <col min="12" max="16384" width="10" style="6"/>
  </cols>
  <sheetData>
    <row r="1" spans="1:11" ht="12.75" x14ac:dyDescent="0.2">
      <c r="A1" s="326" t="s">
        <v>119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1" ht="12.75" x14ac:dyDescent="0.2">
      <c r="A2" s="326" t="s">
        <v>115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</row>
    <row r="3" spans="1:11" x14ac:dyDescent="0.2">
      <c r="A3" s="152"/>
      <c r="B3" s="152"/>
      <c r="C3" s="152"/>
      <c r="D3" s="152"/>
      <c r="E3" s="152"/>
      <c r="F3" s="152"/>
      <c r="G3" s="152"/>
      <c r="H3" s="152"/>
      <c r="I3" s="152"/>
    </row>
    <row r="4" spans="1:11" x14ac:dyDescent="0.2">
      <c r="C4" s="48" t="str">
        <f>cover!C6</f>
        <v>APPROVED</v>
      </c>
      <c r="D4" s="48"/>
      <c r="E4" s="48" t="str">
        <f>cover!E6</f>
        <v xml:space="preserve"> </v>
      </c>
      <c r="F4" s="48"/>
      <c r="G4" s="48" t="str">
        <f>cover!G6</f>
        <v>APPROVED</v>
      </c>
      <c r="H4" s="48"/>
      <c r="I4" s="48" t="str">
        <f>cover!I6</f>
        <v>REQUESTED</v>
      </c>
      <c r="K4" s="48" t="str">
        <f>cover!K6</f>
        <v>PERCENT</v>
      </c>
    </row>
    <row r="5" spans="1:11" x14ac:dyDescent="0.2">
      <c r="A5" s="214"/>
      <c r="B5" s="214"/>
      <c r="C5" s="48" t="str">
        <f>cover!C7</f>
        <v>BUDGET</v>
      </c>
      <c r="D5" s="48"/>
      <c r="E5" s="48" t="str">
        <f>cover!E7</f>
        <v>ACTUAL</v>
      </c>
      <c r="F5" s="48"/>
      <c r="G5" s="48" t="str">
        <f>cover!G7</f>
        <v>BUDGET</v>
      </c>
      <c r="H5" s="48"/>
      <c r="I5" s="48" t="str">
        <f>cover!I7</f>
        <v>BUDGET</v>
      </c>
      <c r="K5" s="48" t="str">
        <f>cover!K7</f>
        <v>CHANGE</v>
      </c>
    </row>
    <row r="6" spans="1:11" x14ac:dyDescent="0.2">
      <c r="A6" s="298"/>
      <c r="B6" s="298"/>
      <c r="C6" s="49" t="str">
        <f>cover!C8</f>
        <v>2010-11</v>
      </c>
      <c r="D6" s="49"/>
      <c r="E6" s="49" t="str">
        <f>cover!E8</f>
        <v>2010-11</v>
      </c>
      <c r="F6" s="49"/>
      <c r="G6" s="49" t="str">
        <f>cover!G8</f>
        <v>2011 -12</v>
      </c>
      <c r="H6" s="49"/>
      <c r="I6" s="49" t="str">
        <f>cover!I8</f>
        <v>2012 -13</v>
      </c>
      <c r="J6" s="299"/>
      <c r="K6" s="49" t="str">
        <f>cover!K8</f>
        <v>FY12/FY13</v>
      </c>
    </row>
    <row r="7" spans="1:11" x14ac:dyDescent="0.2">
      <c r="A7" s="6" t="s">
        <v>19</v>
      </c>
    </row>
    <row r="8" spans="1:11" x14ac:dyDescent="0.2">
      <c r="B8" s="6" t="s">
        <v>339</v>
      </c>
      <c r="C8" s="173">
        <f>C367</f>
        <v>186000</v>
      </c>
      <c r="E8" s="16">
        <f>E367</f>
        <v>210748.08</v>
      </c>
      <c r="G8" s="173">
        <f>G367</f>
        <v>190000</v>
      </c>
      <c r="I8" s="173">
        <f>I367</f>
        <v>200000</v>
      </c>
      <c r="K8" s="156">
        <f>+(I8-G8)/G8</f>
        <v>5.2631578947368418E-2</v>
      </c>
    </row>
    <row r="9" spans="1:11" x14ac:dyDescent="0.2">
      <c r="B9" s="6" t="s">
        <v>340</v>
      </c>
      <c r="C9" s="173">
        <f>C330</f>
        <v>0</v>
      </c>
      <c r="E9" s="16">
        <f>E330</f>
        <v>21510</v>
      </c>
      <c r="G9" s="173">
        <f>G330</f>
        <v>0</v>
      </c>
      <c r="I9" s="173">
        <f>I330</f>
        <v>21600</v>
      </c>
      <c r="K9" s="156">
        <v>1</v>
      </c>
    </row>
    <row r="10" spans="1:11" x14ac:dyDescent="0.2">
      <c r="B10" s="6" t="s">
        <v>338</v>
      </c>
      <c r="C10" s="174">
        <f>+C91+C131+C151+C185+C214+C236+C266+C300</f>
        <v>32484</v>
      </c>
      <c r="E10" s="175">
        <f>+E91+E131+E151+E185+E214+E236+E266+E300</f>
        <v>36138.82</v>
      </c>
      <c r="G10" s="174">
        <f>+G91+G131+G151+G185+G214+G236+G266+G300</f>
        <v>65750</v>
      </c>
      <c r="I10" s="174">
        <f>+I91+I131+I151+I185+I214+I236+I266+I300</f>
        <v>67250</v>
      </c>
      <c r="K10" s="156">
        <f>+(I10-G10)/G10</f>
        <v>2.2813688212927757E-2</v>
      </c>
    </row>
    <row r="11" spans="1:11" x14ac:dyDescent="0.2">
      <c r="C11" s="176">
        <f>SUM(C8:C10)</f>
        <v>218484</v>
      </c>
      <c r="E11" s="177">
        <f>SUM(E8:E10)</f>
        <v>268396.89999999997</v>
      </c>
      <c r="G11" s="176">
        <f>SUM(G8:G10)</f>
        <v>255750</v>
      </c>
      <c r="I11" s="176">
        <f>SUM(I8:I10)</f>
        <v>288850</v>
      </c>
      <c r="K11" s="247">
        <f>+(I11-G11)/G11</f>
        <v>0.12942326490713588</v>
      </c>
    </row>
    <row r="12" spans="1:11" x14ac:dyDescent="0.2">
      <c r="C12" s="173"/>
      <c r="D12" s="173"/>
      <c r="E12" s="173"/>
      <c r="F12" s="173"/>
      <c r="G12" s="173"/>
      <c r="H12" s="173"/>
      <c r="I12" s="173"/>
    </row>
    <row r="13" spans="1:11" x14ac:dyDescent="0.2">
      <c r="A13" s="6" t="s">
        <v>37</v>
      </c>
      <c r="C13" s="173"/>
      <c r="D13" s="173"/>
      <c r="E13" s="173"/>
      <c r="F13" s="173"/>
      <c r="G13" s="173"/>
      <c r="H13" s="173"/>
      <c r="I13" s="173"/>
    </row>
    <row r="14" spans="1:11" x14ac:dyDescent="0.2">
      <c r="B14" s="6" t="s">
        <v>174</v>
      </c>
      <c r="C14" s="173">
        <f t="shared" ref="C14:I15" si="0">+C94</f>
        <v>388260</v>
      </c>
      <c r="E14" s="16">
        <f t="shared" si="0"/>
        <v>339871.68</v>
      </c>
      <c r="G14" s="173">
        <f t="shared" si="0"/>
        <v>402297</v>
      </c>
      <c r="I14" s="173">
        <f t="shared" si="0"/>
        <v>495082.08</v>
      </c>
      <c r="K14" s="156">
        <f t="shared" ref="K14:K17" si="1">+(I14-G14)/G14</f>
        <v>0.23063825979313796</v>
      </c>
    </row>
    <row r="15" spans="1:11" x14ac:dyDescent="0.2">
      <c r="B15" s="6" t="s">
        <v>176</v>
      </c>
      <c r="C15" s="173">
        <f t="shared" si="0"/>
        <v>106593</v>
      </c>
      <c r="E15" s="16">
        <f t="shared" si="0"/>
        <v>43526.11</v>
      </c>
      <c r="G15" s="173">
        <f t="shared" si="0"/>
        <v>45770</v>
      </c>
      <c r="I15" s="173">
        <f t="shared" si="0"/>
        <v>47194.2</v>
      </c>
      <c r="K15" s="156">
        <f t="shared" si="1"/>
        <v>3.1116451824339024E-2</v>
      </c>
    </row>
    <row r="16" spans="1:11" x14ac:dyDescent="0.2">
      <c r="B16" s="6" t="s">
        <v>341</v>
      </c>
      <c r="C16" s="173">
        <f>+C96+C155+C239+C270+C304+C334+C370</f>
        <v>197867</v>
      </c>
      <c r="E16" s="16">
        <f>+E96+E155+E189+E239+E270+E304+E334+E370</f>
        <v>170252.59999999998</v>
      </c>
      <c r="G16" s="173">
        <f>+G96+G155+G239+G270+G304+G334+G370</f>
        <v>235785</v>
      </c>
      <c r="I16" s="173">
        <f>+I96+I155+I239+I189+I270+I304+I334+I370</f>
        <v>247495</v>
      </c>
      <c r="K16" s="156">
        <f t="shared" si="1"/>
        <v>4.9663888712174226E-2</v>
      </c>
    </row>
    <row r="17" spans="1:11" x14ac:dyDescent="0.2">
      <c r="B17" s="6" t="s">
        <v>342</v>
      </c>
      <c r="C17" s="173">
        <f>+C97+C156+C305</f>
        <v>51330</v>
      </c>
      <c r="E17" s="16">
        <f>+E97+E156+E305</f>
        <v>49572.69</v>
      </c>
      <c r="G17" s="173">
        <f>+G97+G156+G305</f>
        <v>51330</v>
      </c>
      <c r="I17" s="173">
        <f>+I97+I156+I305</f>
        <v>68096.737800000003</v>
      </c>
      <c r="K17" s="156">
        <f t="shared" si="1"/>
        <v>0.32664597311513738</v>
      </c>
    </row>
    <row r="18" spans="1:11" x14ac:dyDescent="0.2">
      <c r="B18" s="119" t="s">
        <v>23</v>
      </c>
      <c r="C18" s="176">
        <f>SUM(C14:C17)</f>
        <v>744050</v>
      </c>
      <c r="E18" s="177">
        <f>SUM(E14:E17)</f>
        <v>603223.07999999984</v>
      </c>
      <c r="G18" s="176">
        <f>SUM(G14:G17)</f>
        <v>735182</v>
      </c>
      <c r="I18" s="176">
        <f>SUM(I14:I17)</f>
        <v>857868.01780000003</v>
      </c>
      <c r="K18" s="247">
        <f>+(I18-G18)/G18</f>
        <v>0.16687842983098067</v>
      </c>
    </row>
    <row r="19" spans="1:11" x14ac:dyDescent="0.2">
      <c r="A19" s="6" t="s">
        <v>24</v>
      </c>
      <c r="C19" s="173"/>
      <c r="G19" s="173"/>
      <c r="I19" s="173"/>
    </row>
    <row r="20" spans="1:11" x14ac:dyDescent="0.2">
      <c r="B20" s="6" t="s">
        <v>175</v>
      </c>
      <c r="C20" s="173">
        <f>+C101+C160+C161+C243+C274+C308+C309+C338+C374</f>
        <v>300223</v>
      </c>
      <c r="E20" s="16">
        <f>+E101+E160+E161+E193+E243+E274+E308+E309+E338+E374</f>
        <v>192852.15</v>
      </c>
      <c r="G20" s="173">
        <f>+G101+G160+G161+G243+G274+G308+G309+G338+G374</f>
        <v>265518</v>
      </c>
      <c r="I20" s="173">
        <f>+I101+I160+I161+I243+I274+I308+I309+I338+I374+I193</f>
        <v>313571.84213400004</v>
      </c>
      <c r="K20" s="156">
        <f t="shared" ref="K20:K21" si="2">+(I20-G20)/G20</f>
        <v>0.18098148575237849</v>
      </c>
    </row>
    <row r="21" spans="1:11" x14ac:dyDescent="0.2">
      <c r="B21" s="6" t="s">
        <v>343</v>
      </c>
      <c r="C21" s="173">
        <f>+C102+C162+C310</f>
        <v>33210</v>
      </c>
      <c r="E21" s="16">
        <f>+E102+E162+E310</f>
        <v>31266</v>
      </c>
      <c r="G21" s="173">
        <f>+G102+G162+G310</f>
        <v>37659</v>
      </c>
      <c r="I21" s="173">
        <f>+I102+I162+I310</f>
        <v>64847.478000000003</v>
      </c>
      <c r="K21" s="156">
        <f t="shared" si="2"/>
        <v>0.72196494861786031</v>
      </c>
    </row>
    <row r="22" spans="1:11" x14ac:dyDescent="0.2">
      <c r="A22" s="178"/>
      <c r="C22" s="176">
        <f>SUM(C20:C21)</f>
        <v>333433</v>
      </c>
      <c r="E22" s="177">
        <f>SUM(E20:E21)</f>
        <v>224118.15</v>
      </c>
      <c r="G22" s="176">
        <f>SUM(G20:G21)</f>
        <v>303177</v>
      </c>
      <c r="I22" s="176">
        <f>SUM(I20:I21)</f>
        <v>378419.32013400004</v>
      </c>
      <c r="K22" s="247">
        <f>+(I22-G22)/G22</f>
        <v>0.24817951274008265</v>
      </c>
    </row>
    <row r="23" spans="1:11" x14ac:dyDescent="0.2">
      <c r="C23" s="173"/>
      <c r="G23" s="173"/>
      <c r="I23" s="173"/>
    </row>
    <row r="24" spans="1:11" x14ac:dyDescent="0.2">
      <c r="A24" s="6" t="s">
        <v>27</v>
      </c>
      <c r="C24" s="173"/>
      <c r="G24" s="173"/>
      <c r="I24" s="173"/>
    </row>
    <row r="25" spans="1:11" x14ac:dyDescent="0.2">
      <c r="A25" s="178"/>
      <c r="B25" s="179" t="s">
        <v>351</v>
      </c>
      <c r="C25" s="173">
        <f>+C106</f>
        <v>7223</v>
      </c>
      <c r="E25" s="16">
        <f>+E106</f>
        <v>7460.54</v>
      </c>
      <c r="G25" s="173">
        <f>+G106</f>
        <v>7367</v>
      </c>
      <c r="I25" s="173">
        <f>+I106</f>
        <v>7514</v>
      </c>
      <c r="K25" s="156">
        <f t="shared" ref="K25:K35" si="3">+(I25-G25)/G25</f>
        <v>1.9953848242160989E-2</v>
      </c>
    </row>
    <row r="26" spans="1:11" x14ac:dyDescent="0.2">
      <c r="B26" s="179" t="s">
        <v>199</v>
      </c>
      <c r="C26" s="173">
        <f>+C107+C136+C197+C247+C249+C278+C313+C342</f>
        <v>21875</v>
      </c>
      <c r="E26" s="16">
        <f>+E107+E136+E166+E197+E247+E249+E278+E313+E342</f>
        <v>39112.949999999997</v>
      </c>
      <c r="G26" s="173">
        <f>+G107+G136+G197+G247+G249+G278+G313+G342</f>
        <v>23147</v>
      </c>
      <c r="I26" s="173">
        <f>+I107+I136+I197+I247+I249+I278+I313+I342</f>
        <v>23741</v>
      </c>
      <c r="K26" s="156">
        <f t="shared" si="3"/>
        <v>2.5662072838812805E-2</v>
      </c>
    </row>
    <row r="27" spans="1:11" x14ac:dyDescent="0.2">
      <c r="B27" s="179" t="s">
        <v>178</v>
      </c>
      <c r="C27" s="173">
        <f>+C108+C248</f>
        <v>9455</v>
      </c>
      <c r="E27" s="16">
        <f>+E108+E248</f>
        <v>2887.67</v>
      </c>
      <c r="G27" s="173">
        <f>+G108+G248</f>
        <v>9518</v>
      </c>
      <c r="I27" s="173">
        <f>+I108+I248</f>
        <v>10058</v>
      </c>
      <c r="K27" s="156">
        <f t="shared" si="3"/>
        <v>5.673460811094768E-2</v>
      </c>
    </row>
    <row r="28" spans="1:11" x14ac:dyDescent="0.2">
      <c r="B28" s="6" t="s">
        <v>321</v>
      </c>
      <c r="C28" s="173">
        <f>+C109+C279+C343</f>
        <v>13339</v>
      </c>
      <c r="E28" s="16">
        <f>+E109+E279+E343</f>
        <v>12293.87</v>
      </c>
      <c r="G28" s="173">
        <f>+G109+G279+G343</f>
        <v>13339</v>
      </c>
      <c r="I28" s="173">
        <f>+I109+I279+I343</f>
        <v>13542</v>
      </c>
      <c r="K28" s="156">
        <f t="shared" si="3"/>
        <v>1.5218532123847365E-2</v>
      </c>
    </row>
    <row r="29" spans="1:11" x14ac:dyDescent="0.2">
      <c r="B29" s="6" t="s">
        <v>352</v>
      </c>
      <c r="C29" s="173">
        <f>+C110+C280</f>
        <v>919</v>
      </c>
      <c r="E29" s="16">
        <f>+E110+E280</f>
        <v>44.72</v>
      </c>
      <c r="G29" s="173">
        <f>+G110+G280</f>
        <v>919</v>
      </c>
      <c r="I29" s="173">
        <f>+I110+I280</f>
        <v>938</v>
      </c>
      <c r="K29" s="156">
        <f t="shared" si="3"/>
        <v>2.0674646354733407E-2</v>
      </c>
    </row>
    <row r="30" spans="1:11" x14ac:dyDescent="0.2">
      <c r="B30" s="179" t="s">
        <v>297</v>
      </c>
      <c r="C30" s="173">
        <f>+C111+C250</f>
        <v>2785</v>
      </c>
      <c r="E30" s="16">
        <f>+E111+E250</f>
        <v>8603.85</v>
      </c>
      <c r="G30" s="173">
        <f>+G111+G250</f>
        <v>2785</v>
      </c>
      <c r="I30" s="173">
        <f>+I111+I250</f>
        <v>2033</v>
      </c>
      <c r="K30" s="156">
        <f t="shared" si="3"/>
        <v>-0.27001795332136447</v>
      </c>
    </row>
    <row r="31" spans="1:11" x14ac:dyDescent="0.2">
      <c r="B31" s="179" t="s">
        <v>353</v>
      </c>
      <c r="C31" s="173">
        <f>+C135+C167+C198+C281+C282+C346</f>
        <v>21932</v>
      </c>
      <c r="E31" s="16">
        <f>+E112+E135+E167+E198+E281+E282+E346</f>
        <v>59751.89</v>
      </c>
      <c r="G31" s="173">
        <f>+G135+G167+G198+G281+G282+G346</f>
        <v>33640</v>
      </c>
      <c r="I31" s="173">
        <f>+I135+I167+I198+I281+I282+I346</f>
        <v>32813</v>
      </c>
      <c r="K31" s="156">
        <f t="shared" si="3"/>
        <v>-2.458382877526754E-2</v>
      </c>
    </row>
    <row r="32" spans="1:11" x14ac:dyDescent="0.2">
      <c r="B32" s="179" t="s">
        <v>355</v>
      </c>
      <c r="C32" s="173">
        <f>+C113+C138+C169+C199+C284+C315+C344</f>
        <v>8708</v>
      </c>
      <c r="E32" s="16">
        <f>+E113+E138+E169+E199+E284+E315+E344</f>
        <v>8478.82</v>
      </c>
      <c r="G32" s="173">
        <f>+G113+G138+G169+G199+G284+G315+G344</f>
        <v>9252</v>
      </c>
      <c r="I32" s="173">
        <f>+I113+I138+I169+I199+I284+I315+I344</f>
        <v>9641</v>
      </c>
      <c r="K32" s="156">
        <f t="shared" si="3"/>
        <v>4.2044963251188935E-2</v>
      </c>
    </row>
    <row r="33" spans="1:11" x14ac:dyDescent="0.2">
      <c r="B33" s="179" t="s">
        <v>183</v>
      </c>
      <c r="C33" s="173">
        <f>+C114+C170+C200+C316+C348</f>
        <v>14307</v>
      </c>
      <c r="E33" s="16">
        <f>+E114+E170+E200+E316+E348</f>
        <v>5575.4699999999993</v>
      </c>
      <c r="G33" s="173">
        <f>+G114+G170+G200+G316+G348</f>
        <v>11927</v>
      </c>
      <c r="I33" s="173">
        <f>+I114+I170+I200+I316+I348</f>
        <v>12165</v>
      </c>
      <c r="K33" s="156">
        <f t="shared" si="3"/>
        <v>1.9954724574494844E-2</v>
      </c>
    </row>
    <row r="34" spans="1:11" x14ac:dyDescent="0.2">
      <c r="B34" s="179" t="s">
        <v>354</v>
      </c>
      <c r="C34" s="173">
        <f>+C137+C168+C219+C283+C347</f>
        <v>24621</v>
      </c>
      <c r="E34" s="16">
        <f>+E115+E137+E168+E219+E283+E347</f>
        <v>17480</v>
      </c>
      <c r="G34" s="173">
        <f>+G137+G168+G219+G283+G347</f>
        <v>17692</v>
      </c>
      <c r="I34" s="173">
        <f>+I137+I168+I219+I283+I347</f>
        <v>19576</v>
      </c>
      <c r="K34" s="156">
        <f t="shared" si="3"/>
        <v>0.10648880850101741</v>
      </c>
    </row>
    <row r="35" spans="1:11" x14ac:dyDescent="0.2">
      <c r="B35" s="179" t="s">
        <v>356</v>
      </c>
      <c r="C35" s="173">
        <f>+C116+C139+C140+C171+C201+C218+C251+C252+C286+C314+C317+C349+C378</f>
        <v>342151</v>
      </c>
      <c r="E35" s="16">
        <f>+E116+E139+E140+E171+E201+E218+E251+E252+E286+E314+E317+E349+E378</f>
        <v>400103.94000000006</v>
      </c>
      <c r="G35" s="173">
        <f>+G116+G139+G140+G171+G201+G218+G251+G252+G286+G314+G317+G349+G378</f>
        <v>353944</v>
      </c>
      <c r="I35" s="173">
        <f>+I116+I139+I140+I171+I201+I218+I251+I252+I286+I314+I317+I349+I378</f>
        <v>385062</v>
      </c>
      <c r="K35" s="156">
        <f t="shared" si="3"/>
        <v>8.7917862712745515E-2</v>
      </c>
    </row>
    <row r="36" spans="1:11" x14ac:dyDescent="0.2">
      <c r="B36" s="179" t="s">
        <v>357</v>
      </c>
      <c r="C36" s="173">
        <f>+C117</f>
        <v>0</v>
      </c>
      <c r="E36" s="16">
        <f>+E117</f>
        <v>214805</v>
      </c>
      <c r="G36" s="173">
        <f>+G117</f>
        <v>0</v>
      </c>
      <c r="I36" s="173">
        <f>+I117</f>
        <v>0</v>
      </c>
      <c r="K36" s="156">
        <v>0</v>
      </c>
    </row>
    <row r="37" spans="1:11" x14ac:dyDescent="0.2">
      <c r="B37" s="6" t="s">
        <v>358</v>
      </c>
      <c r="C37" s="173">
        <f>+C118+C172+C285+C287+C345</f>
        <v>33206</v>
      </c>
      <c r="E37" s="16">
        <f>+E118+E172+E285+E287+E345</f>
        <v>23825.760000000002</v>
      </c>
      <c r="G37" s="173">
        <f>+G118+G172+G285+G287+G345</f>
        <v>33217</v>
      </c>
      <c r="I37" s="173">
        <f>+I118+I172+I285+I287+I345</f>
        <v>34871</v>
      </c>
      <c r="K37" s="156">
        <f t="shared" ref="K37" si="4">+(I37-G37)/G37</f>
        <v>4.9793780293223351E-2</v>
      </c>
    </row>
    <row r="38" spans="1:11" ht="16.5" customHeight="1" x14ac:dyDescent="0.2">
      <c r="B38" s="119" t="s">
        <v>32</v>
      </c>
      <c r="C38" s="176">
        <f>SUM(C25:C37)</f>
        <v>500521</v>
      </c>
      <c r="E38" s="177">
        <f>SUM(E25:E37)</f>
        <v>800424.4800000001</v>
      </c>
      <c r="G38" s="176">
        <f>SUM(G25:G37)</f>
        <v>516747</v>
      </c>
      <c r="I38" s="176">
        <f>SUM(I25:I37)</f>
        <v>551954</v>
      </c>
      <c r="K38" s="247">
        <f>+(I38-G38)/G38</f>
        <v>6.8131987220051593E-2</v>
      </c>
    </row>
    <row r="39" spans="1:11" x14ac:dyDescent="0.2">
      <c r="C39" s="173"/>
      <c r="G39" s="173"/>
      <c r="I39" s="173"/>
    </row>
    <row r="40" spans="1:11" x14ac:dyDescent="0.2">
      <c r="B40" s="6" t="s">
        <v>33</v>
      </c>
      <c r="C40" s="174">
        <f>SUM(C18+C22+C38)</f>
        <v>1578004</v>
      </c>
      <c r="E40" s="175">
        <f>SUM(E18+E22+E38)</f>
        <v>1627765.71</v>
      </c>
      <c r="G40" s="174">
        <f>SUM(G18+G22+G38)</f>
        <v>1555106</v>
      </c>
      <c r="I40" s="174">
        <f>SUM(I18+I22+I38)</f>
        <v>1788241.337934</v>
      </c>
      <c r="K40" s="248">
        <f t="shared" ref="K40" si="5">+(I40-G40)/G40</f>
        <v>0.14991604297970682</v>
      </c>
    </row>
    <row r="41" spans="1:11" x14ac:dyDescent="0.2">
      <c r="C41" s="173"/>
      <c r="G41" s="173"/>
      <c r="I41" s="173"/>
    </row>
    <row r="42" spans="1:11" ht="12.75" thickBot="1" x14ac:dyDescent="0.25">
      <c r="B42" s="6" t="s">
        <v>52</v>
      </c>
      <c r="C42" s="301">
        <f>C11-C40</f>
        <v>-1359520</v>
      </c>
      <c r="D42" s="302"/>
      <c r="E42" s="303">
        <f>E11-E40</f>
        <v>-1359368.81</v>
      </c>
      <c r="F42" s="302"/>
      <c r="G42" s="301">
        <f>G11-G40</f>
        <v>-1299356</v>
      </c>
      <c r="H42" s="302"/>
      <c r="I42" s="301">
        <f>I11-I40</f>
        <v>-1499391.337934</v>
      </c>
      <c r="K42" s="249">
        <f t="shared" ref="K42" si="6">+(I42-G42)/G42</f>
        <v>0.15394960113625517</v>
      </c>
    </row>
    <row r="43" spans="1:11" ht="12" customHeight="1" thickTop="1" x14ac:dyDescent="0.2">
      <c r="A43" s="172"/>
      <c r="C43" s="181"/>
      <c r="D43" s="181"/>
      <c r="E43" s="181"/>
      <c r="F43" s="181"/>
      <c r="G43" s="181"/>
      <c r="H43" s="181"/>
      <c r="I43" s="181"/>
    </row>
    <row r="44" spans="1:11" ht="0.75" hidden="1" customHeight="1" x14ac:dyDescent="0.2"/>
    <row r="45" spans="1:11" hidden="1" x14ac:dyDescent="0.2"/>
    <row r="46" spans="1:11" ht="12.75" hidden="1" x14ac:dyDescent="0.2">
      <c r="A46" s="328" t="s">
        <v>54</v>
      </c>
      <c r="B46" s="328"/>
      <c r="C46" s="328"/>
      <c r="D46" s="328"/>
      <c r="E46" s="328"/>
      <c r="F46" s="328"/>
      <c r="G46" s="328"/>
      <c r="H46" s="328"/>
      <c r="I46" s="328"/>
      <c r="J46" s="328"/>
      <c r="K46" s="328"/>
    </row>
    <row r="47" spans="1:11" hidden="1" x14ac:dyDescent="0.2">
      <c r="A47" s="182"/>
      <c r="B47" s="182"/>
      <c r="C47" s="183"/>
      <c r="D47" s="183"/>
      <c r="E47" s="183"/>
      <c r="F47" s="183"/>
      <c r="G47" s="183" t="str">
        <f>+G4</f>
        <v>APPROVED</v>
      </c>
      <c r="H47" s="183"/>
      <c r="I47" s="183" t="str">
        <f>+I4</f>
        <v>REQUESTED</v>
      </c>
    </row>
    <row r="48" spans="1:11" hidden="1" x14ac:dyDescent="0.2">
      <c r="A48" s="184"/>
      <c r="B48" s="184"/>
      <c r="C48" s="183" t="str">
        <f>+C5</f>
        <v>BUDGET</v>
      </c>
      <c r="D48" s="183"/>
      <c r="E48" s="183"/>
      <c r="F48" s="183"/>
      <c r="G48" s="183" t="str">
        <f>+G5</f>
        <v>BUDGET</v>
      </c>
      <c r="H48" s="183"/>
      <c r="I48" s="183" t="str">
        <f>+I5</f>
        <v>BUDGET</v>
      </c>
    </row>
    <row r="49" spans="1:9" hidden="1" x14ac:dyDescent="0.2">
      <c r="A49" s="184"/>
      <c r="B49" s="184" t="s">
        <v>118</v>
      </c>
      <c r="C49" s="183" t="str">
        <f>+C6</f>
        <v>2010-11</v>
      </c>
      <c r="D49" s="183"/>
      <c r="E49" s="183"/>
      <c r="F49" s="183"/>
      <c r="G49" s="183" t="str">
        <f>+G6</f>
        <v>2011 -12</v>
      </c>
      <c r="H49" s="183"/>
      <c r="I49" s="183" t="str">
        <f>+I6</f>
        <v>2012 -13</v>
      </c>
    </row>
    <row r="50" spans="1:9" hidden="1" x14ac:dyDescent="0.2">
      <c r="A50" s="182"/>
      <c r="B50" s="182"/>
      <c r="C50" s="185"/>
      <c r="D50" s="185"/>
      <c r="E50" s="185"/>
      <c r="F50" s="185"/>
      <c r="G50" s="185"/>
      <c r="H50" s="185"/>
      <c r="I50" s="185"/>
    </row>
    <row r="51" spans="1:9" hidden="1" x14ac:dyDescent="0.2">
      <c r="A51" s="182" t="s">
        <v>19</v>
      </c>
      <c r="B51" s="182" t="s">
        <v>77</v>
      </c>
      <c r="C51" s="175">
        <v>0</v>
      </c>
      <c r="D51" s="175"/>
      <c r="E51" s="175"/>
      <c r="F51" s="175"/>
      <c r="G51" s="186"/>
      <c r="H51" s="186"/>
      <c r="I51" s="186"/>
    </row>
    <row r="52" spans="1:9" hidden="1" x14ac:dyDescent="0.2">
      <c r="A52" s="182"/>
      <c r="B52" s="182"/>
      <c r="G52" s="187"/>
      <c r="H52" s="187"/>
      <c r="I52" s="187"/>
    </row>
    <row r="53" spans="1:9" hidden="1" x14ac:dyDescent="0.2">
      <c r="A53" s="182" t="s">
        <v>37</v>
      </c>
      <c r="B53" s="182"/>
      <c r="G53" s="187"/>
      <c r="H53" s="187"/>
      <c r="I53" s="187"/>
    </row>
    <row r="54" spans="1:9" hidden="1" x14ac:dyDescent="0.2">
      <c r="A54" s="182"/>
      <c r="B54" s="182" t="s">
        <v>21</v>
      </c>
      <c r="C54" s="16">
        <v>0</v>
      </c>
      <c r="G54" s="187"/>
      <c r="H54" s="187"/>
      <c r="I54" s="187"/>
    </row>
    <row r="55" spans="1:9" hidden="1" x14ac:dyDescent="0.2">
      <c r="A55" s="182"/>
      <c r="B55" s="182" t="s">
        <v>55</v>
      </c>
      <c r="C55" s="16">
        <v>0</v>
      </c>
      <c r="G55" s="187"/>
      <c r="H55" s="187"/>
      <c r="I55" s="187"/>
    </row>
    <row r="56" spans="1:9" hidden="1" x14ac:dyDescent="0.2">
      <c r="A56" s="182"/>
      <c r="B56" s="182" t="s">
        <v>56</v>
      </c>
      <c r="C56" s="16">
        <v>0</v>
      </c>
      <c r="G56" s="187"/>
      <c r="H56" s="187"/>
      <c r="I56" s="187"/>
    </row>
    <row r="57" spans="1:9" hidden="1" x14ac:dyDescent="0.2">
      <c r="A57" s="182"/>
      <c r="B57" s="182" t="s">
        <v>22</v>
      </c>
      <c r="C57" s="175">
        <v>0</v>
      </c>
      <c r="D57" s="175"/>
      <c r="E57" s="175"/>
      <c r="F57" s="175"/>
      <c r="G57" s="186"/>
      <c r="H57" s="186"/>
      <c r="I57" s="186"/>
    </row>
    <row r="58" spans="1:9" hidden="1" x14ac:dyDescent="0.2">
      <c r="A58" s="182"/>
      <c r="B58" s="188" t="s">
        <v>23</v>
      </c>
      <c r="C58" s="177">
        <f>SUM(C54:C57)</f>
        <v>0</v>
      </c>
      <c r="D58" s="177"/>
      <c r="E58" s="177"/>
      <c r="F58" s="177"/>
      <c r="G58" s="189">
        <f>SUM(G54:G57)</f>
        <v>0</v>
      </c>
      <c r="H58" s="189"/>
      <c r="I58" s="189">
        <f>SUM(I54:I57)</f>
        <v>0</v>
      </c>
    </row>
    <row r="59" spans="1:9" hidden="1" x14ac:dyDescent="0.2">
      <c r="A59" s="182" t="s">
        <v>24</v>
      </c>
      <c r="B59" s="182"/>
      <c r="G59" s="187"/>
      <c r="H59" s="187"/>
      <c r="I59" s="187"/>
    </row>
    <row r="60" spans="1:9" hidden="1" x14ac:dyDescent="0.2">
      <c r="A60" s="182"/>
      <c r="B60" s="182" t="s">
        <v>25</v>
      </c>
      <c r="C60" s="16">
        <v>0</v>
      </c>
      <c r="G60" s="187"/>
      <c r="H60" s="187"/>
      <c r="I60" s="187"/>
    </row>
    <row r="61" spans="1:9" hidden="1" x14ac:dyDescent="0.2">
      <c r="A61" s="182"/>
      <c r="B61" s="182" t="s">
        <v>26</v>
      </c>
      <c r="C61" s="175">
        <v>0</v>
      </c>
      <c r="D61" s="175"/>
      <c r="E61" s="175"/>
      <c r="F61" s="175"/>
      <c r="G61" s="186"/>
      <c r="H61" s="186"/>
      <c r="I61" s="186"/>
    </row>
    <row r="62" spans="1:9" hidden="1" x14ac:dyDescent="0.2">
      <c r="A62" s="184"/>
      <c r="B62" s="182"/>
      <c r="C62" s="177">
        <f>SUM(C60:C61)</f>
        <v>0</v>
      </c>
      <c r="D62" s="177"/>
      <c r="E62" s="177"/>
      <c r="F62" s="177"/>
      <c r="G62" s="189">
        <f>SUM(G60:G61)</f>
        <v>0</v>
      </c>
      <c r="H62" s="189"/>
      <c r="I62" s="189">
        <f>SUM(I60:I61)</f>
        <v>0</v>
      </c>
    </row>
    <row r="63" spans="1:9" hidden="1" x14ac:dyDescent="0.2">
      <c r="A63" s="182"/>
      <c r="B63" s="182"/>
      <c r="G63" s="187"/>
      <c r="H63" s="187"/>
      <c r="I63" s="187"/>
    </row>
    <row r="64" spans="1:9" hidden="1" x14ac:dyDescent="0.2">
      <c r="A64" s="182" t="s">
        <v>27</v>
      </c>
      <c r="B64" s="182"/>
      <c r="G64" s="187"/>
      <c r="H64" s="187"/>
      <c r="I64" s="187"/>
    </row>
    <row r="65" spans="1:9" hidden="1" x14ac:dyDescent="0.2">
      <c r="A65" s="184"/>
      <c r="B65" s="190" t="s">
        <v>57</v>
      </c>
      <c r="C65" s="16">
        <v>0</v>
      </c>
      <c r="G65" s="187"/>
      <c r="H65" s="187"/>
      <c r="I65" s="187"/>
    </row>
    <row r="66" spans="1:9" hidden="1" x14ac:dyDescent="0.2">
      <c r="A66" s="182"/>
      <c r="B66" s="188" t="s">
        <v>58</v>
      </c>
      <c r="C66" s="16">
        <v>0</v>
      </c>
      <c r="G66" s="187"/>
      <c r="H66" s="187"/>
      <c r="I66" s="187"/>
    </row>
    <row r="67" spans="1:9" hidden="1" x14ac:dyDescent="0.2">
      <c r="A67" s="182"/>
      <c r="B67" s="190" t="s">
        <v>50</v>
      </c>
      <c r="C67" s="16">
        <v>0</v>
      </c>
      <c r="G67" s="187"/>
      <c r="H67" s="187"/>
      <c r="I67" s="187"/>
    </row>
    <row r="68" spans="1:9" hidden="1" x14ac:dyDescent="0.2">
      <c r="A68" s="182"/>
      <c r="B68" s="182" t="s">
        <v>28</v>
      </c>
      <c r="C68" s="16">
        <v>0</v>
      </c>
      <c r="G68" s="187"/>
      <c r="H68" s="187"/>
      <c r="I68" s="187"/>
    </row>
    <row r="69" spans="1:9" hidden="1" x14ac:dyDescent="0.2">
      <c r="A69" s="182"/>
      <c r="B69" s="182" t="s">
        <v>59</v>
      </c>
      <c r="C69" s="16">
        <v>0</v>
      </c>
      <c r="G69" s="187"/>
      <c r="H69" s="187"/>
      <c r="I69" s="187"/>
    </row>
    <row r="70" spans="1:9" hidden="1" x14ac:dyDescent="0.2">
      <c r="A70" s="182"/>
      <c r="B70" s="190" t="s">
        <v>60</v>
      </c>
      <c r="C70" s="16">
        <v>0</v>
      </c>
      <c r="G70" s="187"/>
      <c r="H70" s="187"/>
      <c r="I70" s="187"/>
    </row>
    <row r="71" spans="1:9" hidden="1" x14ac:dyDescent="0.2">
      <c r="A71" s="182"/>
      <c r="B71" s="190" t="s">
        <v>61</v>
      </c>
      <c r="C71" s="16">
        <v>0</v>
      </c>
      <c r="G71" s="187"/>
      <c r="H71" s="187"/>
      <c r="I71" s="187"/>
    </row>
    <row r="72" spans="1:9" hidden="1" x14ac:dyDescent="0.2">
      <c r="A72" s="182"/>
      <c r="B72" s="190" t="s">
        <v>122</v>
      </c>
      <c r="C72" s="16">
        <v>0</v>
      </c>
      <c r="G72" s="187"/>
      <c r="H72" s="187"/>
      <c r="I72" s="187"/>
    </row>
    <row r="73" spans="1:9" hidden="1" x14ac:dyDescent="0.2">
      <c r="A73" s="182"/>
      <c r="B73" s="188" t="s">
        <v>29</v>
      </c>
      <c r="C73" s="16">
        <v>0</v>
      </c>
      <c r="G73" s="187"/>
      <c r="H73" s="187"/>
      <c r="I73" s="187"/>
    </row>
    <row r="74" spans="1:9" hidden="1" x14ac:dyDescent="0.2">
      <c r="A74" s="182"/>
      <c r="B74" s="188" t="s">
        <v>78</v>
      </c>
      <c r="C74" s="16">
        <v>0</v>
      </c>
      <c r="G74" s="187"/>
      <c r="H74" s="187"/>
      <c r="I74" s="187"/>
    </row>
    <row r="75" spans="1:9" hidden="1" x14ac:dyDescent="0.2">
      <c r="A75" s="182"/>
      <c r="B75" s="188" t="s">
        <v>89</v>
      </c>
      <c r="C75" s="16">
        <v>0</v>
      </c>
      <c r="G75" s="187"/>
      <c r="H75" s="187"/>
      <c r="I75" s="187"/>
    </row>
    <row r="76" spans="1:9" hidden="1" x14ac:dyDescent="0.2">
      <c r="A76" s="182"/>
      <c r="B76" s="182" t="s">
        <v>45</v>
      </c>
      <c r="C76" s="175">
        <v>0</v>
      </c>
      <c r="D76" s="175"/>
      <c r="E76" s="175"/>
      <c r="F76" s="175"/>
      <c r="G76" s="186"/>
      <c r="H76" s="186"/>
      <c r="I76" s="186"/>
    </row>
    <row r="77" spans="1:9" hidden="1" x14ac:dyDescent="0.2">
      <c r="A77" s="182"/>
      <c r="B77" s="188" t="s">
        <v>32</v>
      </c>
      <c r="C77" s="177">
        <f>SUM(C65:C76)</f>
        <v>0</v>
      </c>
      <c r="D77" s="177"/>
      <c r="E77" s="177"/>
      <c r="F77" s="177"/>
      <c r="G77" s="189">
        <f>SUM(G65:G76)</f>
        <v>0</v>
      </c>
      <c r="H77" s="189"/>
      <c r="I77" s="189">
        <f>SUM(I65:I76)</f>
        <v>0</v>
      </c>
    </row>
    <row r="78" spans="1:9" hidden="1" x14ac:dyDescent="0.2">
      <c r="A78" s="182"/>
      <c r="B78" s="182"/>
      <c r="G78" s="187"/>
      <c r="H78" s="187"/>
      <c r="I78" s="187"/>
    </row>
    <row r="79" spans="1:9" hidden="1" x14ac:dyDescent="0.2">
      <c r="A79" s="182"/>
      <c r="B79" s="182" t="s">
        <v>33</v>
      </c>
      <c r="C79" s="175">
        <f>SUM(C58+C62+C77)</f>
        <v>0</v>
      </c>
      <c r="D79" s="175"/>
      <c r="E79" s="175"/>
      <c r="F79" s="175"/>
      <c r="G79" s="186">
        <f>SUM(G58+G62+G77)</f>
        <v>0</v>
      </c>
      <c r="H79" s="186"/>
      <c r="I79" s="186">
        <f>SUM(I58+I62+I77)</f>
        <v>0</v>
      </c>
    </row>
    <row r="80" spans="1:9" hidden="1" x14ac:dyDescent="0.2">
      <c r="A80" s="182"/>
      <c r="B80" s="182"/>
      <c r="G80" s="187"/>
      <c r="H80" s="187"/>
      <c r="I80" s="187"/>
    </row>
    <row r="81" spans="1:11" ht="12.75" hidden="1" thickBot="1" x14ac:dyDescent="0.25">
      <c r="A81" s="182"/>
      <c r="B81" s="182" t="s">
        <v>52</v>
      </c>
      <c r="C81" s="180">
        <f>C51-C79</f>
        <v>0</v>
      </c>
      <c r="D81" s="180"/>
      <c r="E81" s="180"/>
      <c r="F81" s="180"/>
      <c r="G81" s="191">
        <f>G51-G79</f>
        <v>0</v>
      </c>
      <c r="H81" s="191"/>
      <c r="I81" s="191">
        <f>I51-I79</f>
        <v>0</v>
      </c>
    </row>
    <row r="82" spans="1:11" hidden="1" x14ac:dyDescent="0.2"/>
    <row r="83" spans="1:11" ht="12.75" x14ac:dyDescent="0.2">
      <c r="A83" s="326" t="s">
        <v>328</v>
      </c>
      <c r="B83" s="326"/>
      <c r="C83" s="326"/>
      <c r="D83" s="326"/>
      <c r="E83" s="326"/>
      <c r="F83" s="326"/>
      <c r="G83" s="326"/>
      <c r="H83" s="326"/>
      <c r="I83" s="326"/>
      <c r="J83" s="326"/>
      <c r="K83" s="326"/>
    </row>
    <row r="84" spans="1:11" x14ac:dyDescent="0.2">
      <c r="A84" s="152"/>
      <c r="B84" s="152"/>
      <c r="C84" s="152"/>
      <c r="D84" s="152"/>
      <c r="E84" s="152"/>
      <c r="F84" s="152"/>
      <c r="G84" s="152"/>
      <c r="H84" s="152"/>
      <c r="I84" s="152"/>
    </row>
    <row r="85" spans="1:11" x14ac:dyDescent="0.2">
      <c r="C85" s="48" t="str">
        <f>+C4</f>
        <v>APPROVED</v>
      </c>
      <c r="D85" s="48"/>
      <c r="E85" s="48" t="str">
        <f>+E4</f>
        <v xml:space="preserve"> </v>
      </c>
      <c r="F85" s="48"/>
      <c r="G85" s="48" t="str">
        <f>+G4</f>
        <v>APPROVED</v>
      </c>
      <c r="H85" s="48"/>
      <c r="I85" s="48" t="str">
        <f>+I4</f>
        <v>REQUESTED</v>
      </c>
      <c r="K85" s="48" t="str">
        <f>+K4</f>
        <v>PERCENT</v>
      </c>
    </row>
    <row r="86" spans="1:11" x14ac:dyDescent="0.2">
      <c r="A86" s="178"/>
      <c r="B86" s="192"/>
      <c r="C86" s="48" t="str">
        <f>+C5</f>
        <v>BUDGET</v>
      </c>
      <c r="D86" s="48"/>
      <c r="E86" s="48" t="str">
        <f>+E5</f>
        <v>ACTUAL</v>
      </c>
      <c r="F86" s="48"/>
      <c r="G86" s="48" t="str">
        <f>+G5</f>
        <v>BUDGET</v>
      </c>
      <c r="H86" s="48"/>
      <c r="I86" s="48" t="str">
        <f>+I5</f>
        <v>BUDGET</v>
      </c>
      <c r="K86" s="48" t="str">
        <f>+K5</f>
        <v>CHANGE</v>
      </c>
    </row>
    <row r="87" spans="1:11" x14ac:dyDescent="0.2">
      <c r="A87" s="314"/>
      <c r="B87" s="299"/>
      <c r="C87" s="49" t="str">
        <f>+C6</f>
        <v>2010-11</v>
      </c>
      <c r="D87" s="49"/>
      <c r="E87" s="49" t="str">
        <f>+E6</f>
        <v>2010-11</v>
      </c>
      <c r="F87" s="49"/>
      <c r="G87" s="49" t="str">
        <f>+G6</f>
        <v>2011 -12</v>
      </c>
      <c r="H87" s="49"/>
      <c r="I87" s="49" t="str">
        <f>+I6</f>
        <v>2012 -13</v>
      </c>
      <c r="J87" s="299"/>
      <c r="K87" s="49" t="str">
        <f>+K6</f>
        <v>FY12/FY13</v>
      </c>
    </row>
    <row r="88" spans="1:11" x14ac:dyDescent="0.2">
      <c r="A88" s="315" t="s">
        <v>19</v>
      </c>
      <c r="C88" s="48"/>
      <c r="D88" s="48"/>
      <c r="E88" s="48"/>
      <c r="F88" s="48"/>
      <c r="G88" s="48"/>
      <c r="H88" s="48"/>
      <c r="I88" s="48"/>
      <c r="K88" s="48"/>
    </row>
    <row r="89" spans="1:11" x14ac:dyDescent="0.2">
      <c r="B89" s="6" t="s">
        <v>345</v>
      </c>
      <c r="C89" s="173">
        <v>0</v>
      </c>
      <c r="E89" s="16">
        <v>467.83</v>
      </c>
      <c r="G89" s="173">
        <v>0</v>
      </c>
      <c r="I89" s="173">
        <v>0</v>
      </c>
      <c r="K89" s="156">
        <v>0</v>
      </c>
    </row>
    <row r="90" spans="1:11" x14ac:dyDescent="0.2">
      <c r="B90" s="6" t="s">
        <v>344</v>
      </c>
      <c r="C90" s="174">
        <v>19484</v>
      </c>
      <c r="E90" s="175">
        <v>0</v>
      </c>
      <c r="G90" s="174">
        <f>50000+(50000*0.285)-14000</f>
        <v>50250</v>
      </c>
      <c r="I90" s="174">
        <v>50250</v>
      </c>
      <c r="K90" s="156">
        <v>-1</v>
      </c>
    </row>
    <row r="91" spans="1:11" x14ac:dyDescent="0.2">
      <c r="B91" s="119" t="s">
        <v>20</v>
      </c>
      <c r="C91" s="176">
        <f>SUM(C89:C90)</f>
        <v>19484</v>
      </c>
      <c r="E91" s="177">
        <f>SUM(E89:E90)</f>
        <v>467.83</v>
      </c>
      <c r="G91" s="176">
        <f>SUM(G89:G90)</f>
        <v>50250</v>
      </c>
      <c r="I91" s="176">
        <f>SUM(I89:I90)</f>
        <v>50250</v>
      </c>
      <c r="K91" s="247">
        <f>+(I91-G91)/G91</f>
        <v>0</v>
      </c>
    </row>
    <row r="92" spans="1:11" x14ac:dyDescent="0.2">
      <c r="C92" s="173"/>
      <c r="G92" s="173"/>
      <c r="I92" s="173"/>
    </row>
    <row r="93" spans="1:11" x14ac:dyDescent="0.2">
      <c r="A93" s="6" t="s">
        <v>37</v>
      </c>
      <c r="C93" s="173"/>
      <c r="G93" s="173"/>
      <c r="I93" s="173"/>
    </row>
    <row r="94" spans="1:11" x14ac:dyDescent="0.2">
      <c r="B94" s="6" t="s">
        <v>346</v>
      </c>
      <c r="C94" s="173">
        <v>388260</v>
      </c>
      <c r="E94" s="16">
        <v>339871.68</v>
      </c>
      <c r="G94" s="173">
        <f>352297+50000</f>
        <v>402297</v>
      </c>
      <c r="I94" s="173">
        <f>417082.08+40000+38000</f>
        <v>495082.08</v>
      </c>
      <c r="K94" s="156">
        <f t="shared" ref="K94:K97" si="7">+(I94-G94)/G94</f>
        <v>0.23063825979313796</v>
      </c>
    </row>
    <row r="95" spans="1:11" x14ac:dyDescent="0.2">
      <c r="B95" s="6" t="s">
        <v>347</v>
      </c>
      <c r="C95" s="173">
        <v>106593</v>
      </c>
      <c r="E95" s="16">
        <v>43526.11</v>
      </c>
      <c r="G95" s="173">
        <v>45770</v>
      </c>
      <c r="I95" s="173">
        <v>47194.2</v>
      </c>
      <c r="K95" s="156">
        <f t="shared" si="7"/>
        <v>3.1116451824339024E-2</v>
      </c>
    </row>
    <row r="96" spans="1:11" x14ac:dyDescent="0.2">
      <c r="B96" s="6" t="s">
        <v>215</v>
      </c>
      <c r="C96" s="173">
        <v>91612</v>
      </c>
      <c r="E96" s="16">
        <v>22235.1</v>
      </c>
      <c r="G96" s="173">
        <v>36052</v>
      </c>
      <c r="I96" s="173">
        <v>19341</v>
      </c>
      <c r="K96" s="156">
        <f t="shared" si="7"/>
        <v>-0.46352490846554978</v>
      </c>
    </row>
    <row r="97" spans="1:11" x14ac:dyDescent="0.2">
      <c r="B97" s="6" t="s">
        <v>348</v>
      </c>
      <c r="C97" s="174">
        <v>34220</v>
      </c>
      <c r="E97" s="175">
        <v>33049.279999999999</v>
      </c>
      <c r="G97" s="174">
        <f>34220-16839</f>
        <v>17381</v>
      </c>
      <c r="I97" s="174">
        <f>+((1736.07*9)+((1736.07*9)*0.03)+900)+17000+((1736.07*9)+((1736.07*9)*0.03)+900)</f>
        <v>50986.737800000003</v>
      </c>
      <c r="K97" s="156">
        <f t="shared" si="7"/>
        <v>1.9334755077383352</v>
      </c>
    </row>
    <row r="98" spans="1:11" x14ac:dyDescent="0.2">
      <c r="A98" s="178"/>
      <c r="B98" s="119" t="s">
        <v>23</v>
      </c>
      <c r="C98" s="176">
        <f>SUM(C94:C97)</f>
        <v>620685</v>
      </c>
      <c r="E98" s="177">
        <f>SUM(E94:E97)</f>
        <v>438682.16999999993</v>
      </c>
      <c r="G98" s="176">
        <f>SUM(G94:G97)</f>
        <v>501500</v>
      </c>
      <c r="I98" s="176">
        <f>SUM(I94:I97)</f>
        <v>612604.01780000003</v>
      </c>
      <c r="K98" s="247">
        <f>+(I98-G98)/G98</f>
        <v>0.22154340538384851</v>
      </c>
    </row>
    <row r="99" spans="1:11" x14ac:dyDescent="0.2">
      <c r="A99" s="178"/>
      <c r="C99" s="173"/>
      <c r="G99" s="173"/>
      <c r="I99" s="173"/>
    </row>
    <row r="100" spans="1:11" x14ac:dyDescent="0.2">
      <c r="A100" s="6" t="s">
        <v>24</v>
      </c>
      <c r="C100" s="173"/>
      <c r="G100" s="173"/>
      <c r="I100" s="173"/>
    </row>
    <row r="101" spans="1:11" x14ac:dyDescent="0.2">
      <c r="B101" s="6" t="s">
        <v>175</v>
      </c>
      <c r="C101" s="173">
        <f>212016+77270+4086+2748</f>
        <v>296120</v>
      </c>
      <c r="E101" s="16">
        <v>188698.17</v>
      </c>
      <c r="G101" s="173">
        <f>226576+((50000*0.285+15712))-2506</f>
        <v>254032</v>
      </c>
      <c r="I101" s="173">
        <f>17740.8+13497.54+103362+118993.75+(I96*0.03)+(I97*0.03)+26000+24000+510</f>
        <v>306213.92213399999</v>
      </c>
      <c r="K101" s="156">
        <f t="shared" ref="K101:K102" si="8">+(I101-G101)/G101</f>
        <v>0.20541475929804118</v>
      </c>
    </row>
    <row r="102" spans="1:11" x14ac:dyDescent="0.2">
      <c r="B102" s="6" t="s">
        <v>350</v>
      </c>
      <c r="C102" s="174">
        <v>22140</v>
      </c>
      <c r="E102" s="175">
        <v>20844</v>
      </c>
      <c r="G102" s="174">
        <f>26589-10788</f>
        <v>15801</v>
      </c>
      <c r="I102" s="174">
        <f>+(15801*0.026)+15801+16212+(15801*0.026)+15801</f>
        <v>48635.652000000002</v>
      </c>
      <c r="K102" s="156">
        <f t="shared" si="8"/>
        <v>2.0780110119612685</v>
      </c>
    </row>
    <row r="103" spans="1:11" x14ac:dyDescent="0.2">
      <c r="A103" s="178"/>
      <c r="B103" s="119" t="s">
        <v>38</v>
      </c>
      <c r="C103" s="176">
        <f>SUM(C101:C102)</f>
        <v>318260</v>
      </c>
      <c r="E103" s="177">
        <f>SUM(E101:E102)</f>
        <v>209542.17</v>
      </c>
      <c r="G103" s="176">
        <f>SUM(G101:G102)</f>
        <v>269833</v>
      </c>
      <c r="I103" s="176">
        <f>SUM(I101:I102)</f>
        <v>354849.57413399999</v>
      </c>
      <c r="K103" s="247">
        <f>+(I103-G103)/G103</f>
        <v>0.31507107779256055</v>
      </c>
    </row>
    <row r="104" spans="1:11" x14ac:dyDescent="0.2">
      <c r="A104" s="178"/>
      <c r="C104" s="173"/>
      <c r="G104" s="173"/>
      <c r="I104" s="173"/>
    </row>
    <row r="105" spans="1:11" x14ac:dyDescent="0.2">
      <c r="A105" s="6" t="s">
        <v>27</v>
      </c>
      <c r="C105" s="173"/>
      <c r="G105" s="173"/>
      <c r="I105" s="173"/>
    </row>
    <row r="106" spans="1:11" x14ac:dyDescent="0.2">
      <c r="B106" s="179" t="s">
        <v>351</v>
      </c>
      <c r="C106" s="173">
        <v>7223</v>
      </c>
      <c r="E106" s="16">
        <v>7460.54</v>
      </c>
      <c r="G106" s="173">
        <v>7367</v>
      </c>
      <c r="I106" s="173">
        <v>7514</v>
      </c>
      <c r="K106" s="156">
        <f t="shared" ref="K106:K111" si="9">+(I106-G106)/G106</f>
        <v>1.9953848242160989E-2</v>
      </c>
    </row>
    <row r="107" spans="1:11" x14ac:dyDescent="0.2">
      <c r="B107" s="179" t="s">
        <v>199</v>
      </c>
      <c r="C107" s="173">
        <v>10466</v>
      </c>
      <c r="E107" s="16">
        <v>4910.84</v>
      </c>
      <c r="G107" s="173">
        <v>10675</v>
      </c>
      <c r="I107" s="173">
        <v>10889</v>
      </c>
      <c r="K107" s="156">
        <f t="shared" si="9"/>
        <v>2.0046838407494147E-2</v>
      </c>
    </row>
    <row r="108" spans="1:11" x14ac:dyDescent="0.2">
      <c r="B108" s="179" t="s">
        <v>178</v>
      </c>
      <c r="C108" s="173">
        <v>6303</v>
      </c>
      <c r="E108" s="16">
        <v>2493.67</v>
      </c>
      <c r="G108" s="173">
        <v>6303</v>
      </c>
      <c r="I108" s="173">
        <v>6429</v>
      </c>
      <c r="K108" s="156">
        <f t="shared" si="9"/>
        <v>1.9990480723465015E-2</v>
      </c>
    </row>
    <row r="109" spans="1:11" x14ac:dyDescent="0.2">
      <c r="B109" s="6" t="s">
        <v>321</v>
      </c>
      <c r="C109" s="173">
        <v>9560</v>
      </c>
      <c r="E109" s="16">
        <v>9913.51</v>
      </c>
      <c r="G109" s="173">
        <v>9560</v>
      </c>
      <c r="I109" s="173">
        <v>9751</v>
      </c>
      <c r="K109" s="156">
        <f t="shared" si="9"/>
        <v>1.9979079497907951E-2</v>
      </c>
    </row>
    <row r="110" spans="1:11" x14ac:dyDescent="0.2">
      <c r="B110" s="6" t="s">
        <v>352</v>
      </c>
      <c r="C110" s="173">
        <v>893</v>
      </c>
      <c r="E110" s="16">
        <v>8.85</v>
      </c>
      <c r="G110" s="173">
        <v>893</v>
      </c>
      <c r="I110" s="173">
        <v>911</v>
      </c>
      <c r="K110" s="156">
        <f t="shared" si="9"/>
        <v>2.0156774916013438E-2</v>
      </c>
    </row>
    <row r="111" spans="1:11" x14ac:dyDescent="0.2">
      <c r="B111" s="179" t="s">
        <v>297</v>
      </c>
      <c r="C111" s="173">
        <v>1209</v>
      </c>
      <c r="E111" s="16">
        <v>8362</v>
      </c>
      <c r="G111" s="173">
        <v>1209</v>
      </c>
      <c r="I111" s="173">
        <v>1233</v>
      </c>
      <c r="K111" s="156">
        <f t="shared" si="9"/>
        <v>1.9851116625310174E-2</v>
      </c>
    </row>
    <row r="112" spans="1:11" x14ac:dyDescent="0.2">
      <c r="B112" s="179" t="s">
        <v>353</v>
      </c>
      <c r="C112" s="173">
        <v>0</v>
      </c>
      <c r="E112" s="16">
        <v>2780</v>
      </c>
      <c r="G112" s="173">
        <v>0</v>
      </c>
      <c r="I112" s="173">
        <v>0</v>
      </c>
      <c r="K112" s="156">
        <v>0</v>
      </c>
    </row>
    <row r="113" spans="1:11" x14ac:dyDescent="0.2">
      <c r="B113" s="179" t="s">
        <v>355</v>
      </c>
      <c r="C113" s="173">
        <v>1153</v>
      </c>
      <c r="E113" s="16">
        <v>3542.69</v>
      </c>
      <c r="G113" s="173">
        <v>1176</v>
      </c>
      <c r="I113" s="173">
        <v>1200</v>
      </c>
      <c r="K113" s="156">
        <f t="shared" ref="K113:K114" si="10">+(I113-G113)/G113</f>
        <v>2.0408163265306121E-2</v>
      </c>
    </row>
    <row r="114" spans="1:11" x14ac:dyDescent="0.2">
      <c r="B114" s="179" t="s">
        <v>183</v>
      </c>
      <c r="C114" s="173">
        <v>0</v>
      </c>
      <c r="E114" s="16">
        <v>604.13</v>
      </c>
      <c r="G114" s="173">
        <v>620</v>
      </c>
      <c r="I114" s="173">
        <v>632</v>
      </c>
      <c r="K114" s="156">
        <f t="shared" si="10"/>
        <v>1.935483870967742E-2</v>
      </c>
    </row>
    <row r="115" spans="1:11" x14ac:dyDescent="0.2">
      <c r="B115" s="179" t="s">
        <v>354</v>
      </c>
      <c r="C115" s="173">
        <v>0</v>
      </c>
      <c r="E115" s="16">
        <v>9000</v>
      </c>
      <c r="G115" s="173">
        <v>0</v>
      </c>
      <c r="I115" s="173">
        <v>0</v>
      </c>
      <c r="K115" s="156">
        <v>0</v>
      </c>
    </row>
    <row r="116" spans="1:11" x14ac:dyDescent="0.2">
      <c r="B116" s="179" t="s">
        <v>356</v>
      </c>
      <c r="C116" s="173">
        <v>0</v>
      </c>
      <c r="E116" s="16">
        <v>905.6</v>
      </c>
      <c r="G116" s="173">
        <v>0</v>
      </c>
      <c r="I116" s="173">
        <v>0</v>
      </c>
      <c r="K116" s="156">
        <v>0</v>
      </c>
    </row>
    <row r="117" spans="1:11" x14ac:dyDescent="0.2">
      <c r="B117" s="179" t="s">
        <v>357</v>
      </c>
      <c r="C117" s="173">
        <v>0</v>
      </c>
      <c r="E117" s="16">
        <v>214805</v>
      </c>
      <c r="G117" s="173">
        <v>0</v>
      </c>
      <c r="I117" s="173">
        <v>0</v>
      </c>
      <c r="K117" s="156">
        <v>0</v>
      </c>
    </row>
    <row r="118" spans="1:11" x14ac:dyDescent="0.2">
      <c r="B118" s="6" t="s">
        <v>358</v>
      </c>
      <c r="C118" s="174">
        <v>29003</v>
      </c>
      <c r="E118" s="16">
        <v>20944.240000000002</v>
      </c>
      <c r="G118" s="174">
        <v>29003</v>
      </c>
      <c r="I118" s="174">
        <v>29583</v>
      </c>
      <c r="K118" s="156">
        <f t="shared" ref="K118" si="11">+(I118-G118)/G118</f>
        <v>1.9997931248491536E-2</v>
      </c>
    </row>
    <row r="119" spans="1:11" x14ac:dyDescent="0.2">
      <c r="B119" s="119" t="s">
        <v>76</v>
      </c>
      <c r="C119" s="176">
        <f>SUM(C106:C118)</f>
        <v>65810</v>
      </c>
      <c r="E119" s="177">
        <f>SUM(E106:E118)</f>
        <v>285731.07</v>
      </c>
      <c r="G119" s="176">
        <f>SUM(G106:G118)</f>
        <v>66806</v>
      </c>
      <c r="I119" s="176">
        <f>SUM(I106:I118)</f>
        <v>68142</v>
      </c>
      <c r="K119" s="247">
        <f>+(I119-G119)/G119</f>
        <v>1.9998203754153818E-2</v>
      </c>
    </row>
    <row r="120" spans="1:11" x14ac:dyDescent="0.2">
      <c r="C120" s="173"/>
      <c r="G120" s="173"/>
      <c r="I120" s="173"/>
      <c r="K120" s="156"/>
    </row>
    <row r="121" spans="1:11" x14ac:dyDescent="0.2">
      <c r="B121" s="6" t="s">
        <v>33</v>
      </c>
      <c r="C121" s="174">
        <f>+C119+C103+C98</f>
        <v>1004755</v>
      </c>
      <c r="E121" s="193">
        <f>+E119+E103+E98</f>
        <v>933955.40999999992</v>
      </c>
      <c r="G121" s="174">
        <f>+G119+G103+G98</f>
        <v>838139</v>
      </c>
      <c r="I121" s="174">
        <f>+I119+I103+I98</f>
        <v>1035595.591934</v>
      </c>
      <c r="K121" s="248">
        <f t="shared" ref="K121" si="12">+(I121-G121)/G121</f>
        <v>0.23558931386559989</v>
      </c>
    </row>
    <row r="122" spans="1:11" x14ac:dyDescent="0.2">
      <c r="C122" s="173"/>
      <c r="G122" s="173"/>
      <c r="K122" s="156"/>
    </row>
    <row r="123" spans="1:11" ht="12.75" thickBot="1" x14ac:dyDescent="0.25">
      <c r="B123" s="6" t="s">
        <v>52</v>
      </c>
      <c r="C123" s="194">
        <f>+C91-C121</f>
        <v>-985271</v>
      </c>
      <c r="E123" s="195">
        <f>+E91-E121</f>
        <v>-933487.58</v>
      </c>
      <c r="G123" s="194">
        <f>+G91-G121</f>
        <v>-787889</v>
      </c>
      <c r="I123" s="194">
        <f>+I91-I121</f>
        <v>-985345.59193400003</v>
      </c>
      <c r="K123" s="249">
        <f t="shared" ref="K123" si="13">+(I123-G123)/G123</f>
        <v>0.25061473371756687</v>
      </c>
    </row>
    <row r="124" spans="1:11" ht="12.75" thickTop="1" x14ac:dyDescent="0.2"/>
    <row r="125" spans="1:11" ht="12.75" x14ac:dyDescent="0.2">
      <c r="A125" s="326" t="s">
        <v>329</v>
      </c>
      <c r="B125" s="326"/>
      <c r="C125" s="326"/>
      <c r="D125" s="326"/>
      <c r="E125" s="326"/>
      <c r="F125" s="326"/>
      <c r="G125" s="326"/>
      <c r="H125" s="326"/>
      <c r="I125" s="326"/>
      <c r="J125" s="326"/>
      <c r="K125" s="326"/>
    </row>
    <row r="126" spans="1:11" x14ac:dyDescent="0.2">
      <c r="A126" s="152"/>
      <c r="B126" s="152"/>
      <c r="C126" s="152"/>
      <c r="D126" s="152"/>
      <c r="E126" s="152"/>
      <c r="F126" s="152"/>
      <c r="G126" s="152"/>
      <c r="H126" s="152"/>
      <c r="I126" s="152"/>
    </row>
    <row r="127" spans="1:11" x14ac:dyDescent="0.2">
      <c r="C127" s="48" t="str">
        <f>+C4</f>
        <v>APPROVED</v>
      </c>
      <c r="D127" s="48"/>
      <c r="E127" s="48" t="str">
        <f>+E4</f>
        <v xml:space="preserve"> </v>
      </c>
      <c r="F127" s="48"/>
      <c r="G127" s="48" t="str">
        <f>+G4</f>
        <v>APPROVED</v>
      </c>
      <c r="H127" s="48"/>
      <c r="I127" s="48" t="str">
        <f>+I4</f>
        <v>REQUESTED</v>
      </c>
      <c r="K127" s="48" t="str">
        <f>+K4</f>
        <v>PERCENT</v>
      </c>
    </row>
    <row r="128" spans="1:11" x14ac:dyDescent="0.2">
      <c r="B128" s="196"/>
      <c r="C128" s="48" t="str">
        <f>+C5</f>
        <v>BUDGET</v>
      </c>
      <c r="D128" s="48"/>
      <c r="E128" s="48" t="str">
        <f>+E5</f>
        <v>ACTUAL</v>
      </c>
      <c r="F128" s="48"/>
      <c r="G128" s="48" t="str">
        <f>+G5</f>
        <v>BUDGET</v>
      </c>
      <c r="H128" s="48"/>
      <c r="I128" s="48" t="str">
        <f>+I5</f>
        <v>BUDGET</v>
      </c>
      <c r="K128" s="48" t="str">
        <f>+K5</f>
        <v>CHANGE</v>
      </c>
    </row>
    <row r="129" spans="1:11" x14ac:dyDescent="0.2">
      <c r="A129" s="299"/>
      <c r="B129" s="299"/>
      <c r="C129" s="49" t="str">
        <f>+C6</f>
        <v>2010-11</v>
      </c>
      <c r="D129" s="49"/>
      <c r="E129" s="49" t="str">
        <f>+E6</f>
        <v>2010-11</v>
      </c>
      <c r="F129" s="49"/>
      <c r="G129" s="49" t="str">
        <f>+G6</f>
        <v>2011 -12</v>
      </c>
      <c r="H129" s="49"/>
      <c r="I129" s="49" t="str">
        <f>+I6</f>
        <v>2012 -13</v>
      </c>
      <c r="J129" s="299"/>
      <c r="K129" s="49" t="str">
        <f>+K6</f>
        <v>FY12/FY13</v>
      </c>
    </row>
    <row r="130" spans="1:11" x14ac:dyDescent="0.2">
      <c r="A130" s="6" t="s">
        <v>19</v>
      </c>
      <c r="C130" s="48"/>
      <c r="D130" s="48"/>
      <c r="E130" s="48"/>
      <c r="F130" s="48"/>
      <c r="G130" s="48"/>
      <c r="H130" s="48"/>
      <c r="I130" s="48"/>
      <c r="K130" s="48"/>
    </row>
    <row r="131" spans="1:11" x14ac:dyDescent="0.2">
      <c r="B131" s="6" t="s">
        <v>359</v>
      </c>
      <c r="C131" s="174">
        <v>0</v>
      </c>
      <c r="E131" s="175">
        <v>2500</v>
      </c>
      <c r="G131" s="174">
        <v>2500</v>
      </c>
      <c r="I131" s="174">
        <v>4000</v>
      </c>
      <c r="K131" s="156">
        <f t="shared" ref="K131" si="14">+(I131-G131)/G131</f>
        <v>0.6</v>
      </c>
    </row>
    <row r="132" spans="1:11" x14ac:dyDescent="0.2">
      <c r="B132" s="119" t="s">
        <v>20</v>
      </c>
      <c r="C132" s="174">
        <f>SUM(C131)</f>
        <v>0</v>
      </c>
      <c r="E132" s="175">
        <f>SUM(E131)</f>
        <v>2500</v>
      </c>
      <c r="G132" s="174">
        <f>SUM(G131)</f>
        <v>2500</v>
      </c>
      <c r="I132" s="174">
        <v>4000</v>
      </c>
      <c r="K132" s="247">
        <f>+(I132-G132)/G132</f>
        <v>0.6</v>
      </c>
    </row>
    <row r="133" spans="1:11" x14ac:dyDescent="0.2">
      <c r="C133" s="173"/>
      <c r="I133" s="173"/>
    </row>
    <row r="134" spans="1:11" x14ac:dyDescent="0.2">
      <c r="A134" s="6" t="s">
        <v>27</v>
      </c>
      <c r="C134" s="173"/>
      <c r="I134" s="173"/>
    </row>
    <row r="135" spans="1:11" x14ac:dyDescent="0.2">
      <c r="B135" s="6" t="s">
        <v>360</v>
      </c>
      <c r="C135" s="173">
        <v>0</v>
      </c>
      <c r="E135" s="16">
        <v>1677.72</v>
      </c>
      <c r="G135" s="173">
        <v>2000</v>
      </c>
      <c r="I135" s="173">
        <v>1540</v>
      </c>
      <c r="K135" s="156">
        <f t="shared" ref="K135:K136" si="15">+(I135-G135)/G135</f>
        <v>-0.23</v>
      </c>
    </row>
    <row r="136" spans="1:11" x14ac:dyDescent="0.2">
      <c r="B136" s="6" t="s">
        <v>199</v>
      </c>
      <c r="C136" s="173">
        <v>788</v>
      </c>
      <c r="E136" s="16">
        <v>1515.47</v>
      </c>
      <c r="G136" s="173">
        <v>186</v>
      </c>
      <c r="I136" s="173">
        <v>190</v>
      </c>
      <c r="K136" s="156">
        <f t="shared" si="15"/>
        <v>2.1505376344086023E-2</v>
      </c>
    </row>
    <row r="137" spans="1:11" x14ac:dyDescent="0.2">
      <c r="B137" s="6" t="s">
        <v>78</v>
      </c>
      <c r="C137" s="173">
        <v>2626</v>
      </c>
      <c r="E137" s="16">
        <v>0</v>
      </c>
      <c r="G137" s="173">
        <v>0</v>
      </c>
      <c r="I137" s="173">
        <v>0</v>
      </c>
      <c r="K137" s="156">
        <v>0</v>
      </c>
    </row>
    <row r="138" spans="1:11" x14ac:dyDescent="0.2">
      <c r="B138" s="6" t="s">
        <v>361</v>
      </c>
      <c r="C138" s="173">
        <v>1261</v>
      </c>
      <c r="E138" s="16">
        <v>39.130000000000003</v>
      </c>
      <c r="G138" s="173">
        <v>1761</v>
      </c>
      <c r="I138" s="173">
        <v>2000</v>
      </c>
      <c r="K138" s="156">
        <f t="shared" ref="K138:K140" si="16">+(I138-G138)/G138</f>
        <v>0.13571834185122089</v>
      </c>
    </row>
    <row r="139" spans="1:11" x14ac:dyDescent="0.2">
      <c r="B139" s="6" t="s">
        <v>183</v>
      </c>
      <c r="C139" s="173">
        <v>578</v>
      </c>
      <c r="E139" s="16">
        <v>3410</v>
      </c>
      <c r="G139" s="173">
        <v>1245</v>
      </c>
      <c r="I139" s="173">
        <v>3160</v>
      </c>
      <c r="K139" s="156">
        <f t="shared" si="16"/>
        <v>1.5381526104417671</v>
      </c>
    </row>
    <row r="140" spans="1:11" x14ac:dyDescent="0.2">
      <c r="B140" s="6" t="s">
        <v>410</v>
      </c>
      <c r="C140" s="174">
        <v>5253</v>
      </c>
      <c r="E140" s="175">
        <v>-2957.5</v>
      </c>
      <c r="G140" s="174">
        <v>8000</v>
      </c>
      <c r="I140" s="174">
        <v>8000</v>
      </c>
      <c r="K140" s="156">
        <f t="shared" si="16"/>
        <v>0</v>
      </c>
    </row>
    <row r="141" spans="1:11" x14ac:dyDescent="0.2">
      <c r="B141" s="119" t="s">
        <v>76</v>
      </c>
      <c r="C141" s="176">
        <f>SUM(C136:C140)</f>
        <v>10506</v>
      </c>
      <c r="E141" s="177">
        <f>SUM(E135:E140)</f>
        <v>3684.8199999999997</v>
      </c>
      <c r="G141" s="176">
        <f>SUM(G135:G140)</f>
        <v>13192</v>
      </c>
      <c r="I141" s="176">
        <f>SUM(I135:I140)</f>
        <v>14890</v>
      </c>
      <c r="K141" s="247">
        <f>+(I141-G141)/G141</f>
        <v>0.12871437234687688</v>
      </c>
    </row>
    <row r="142" spans="1:11" x14ac:dyDescent="0.2">
      <c r="C142" s="173"/>
      <c r="G142" s="173"/>
    </row>
    <row r="143" spans="1:11" ht="12.75" thickBot="1" x14ac:dyDescent="0.25">
      <c r="B143" s="6" t="s">
        <v>52</v>
      </c>
      <c r="C143" s="194">
        <f>+C132-C141</f>
        <v>-10506</v>
      </c>
      <c r="E143" s="195">
        <f>+E132-E141</f>
        <v>-1184.8199999999997</v>
      </c>
      <c r="G143" s="194">
        <f>+G132-G141</f>
        <v>-10692</v>
      </c>
      <c r="I143" s="197">
        <f>+I131-I141</f>
        <v>-10890</v>
      </c>
      <c r="K143" s="249">
        <f t="shared" ref="K143" si="17">+(I143-G143)/G143</f>
        <v>1.8518518518518517E-2</v>
      </c>
    </row>
    <row r="144" spans="1:11" ht="12.75" thickTop="1" x14ac:dyDescent="0.2"/>
    <row r="145" spans="1:11" ht="12.75" x14ac:dyDescent="0.2">
      <c r="A145" s="326" t="s">
        <v>330</v>
      </c>
      <c r="B145" s="326"/>
      <c r="C145" s="326"/>
      <c r="D145" s="326"/>
      <c r="E145" s="326"/>
      <c r="F145" s="326"/>
      <c r="G145" s="326"/>
      <c r="H145" s="326"/>
      <c r="I145" s="326"/>
      <c r="J145" s="326"/>
      <c r="K145" s="326"/>
    </row>
    <row r="146" spans="1:11" x14ac:dyDescent="0.2">
      <c r="A146" s="152"/>
      <c r="B146" s="152"/>
      <c r="C146" s="152"/>
      <c r="D146" s="152"/>
      <c r="E146" s="152"/>
      <c r="F146" s="152"/>
      <c r="G146" s="152"/>
      <c r="H146" s="152"/>
      <c r="I146" s="152"/>
    </row>
    <row r="147" spans="1:11" x14ac:dyDescent="0.2">
      <c r="C147" s="48" t="str">
        <f>+C4</f>
        <v>APPROVED</v>
      </c>
      <c r="D147" s="48"/>
      <c r="E147" s="48" t="str">
        <f>+E4</f>
        <v xml:space="preserve"> </v>
      </c>
      <c r="F147" s="48"/>
      <c r="G147" s="48" t="str">
        <f>+G4</f>
        <v>APPROVED</v>
      </c>
      <c r="H147" s="48"/>
      <c r="I147" s="48" t="str">
        <f>+I4</f>
        <v>REQUESTED</v>
      </c>
      <c r="K147" s="48" t="str">
        <f>+K4</f>
        <v>PERCENT</v>
      </c>
    </row>
    <row r="148" spans="1:11" x14ac:dyDescent="0.2">
      <c r="B148" s="196"/>
      <c r="C148" s="48" t="str">
        <f>+C5</f>
        <v>BUDGET</v>
      </c>
      <c r="D148" s="48"/>
      <c r="E148" s="48" t="str">
        <f>+E5</f>
        <v>ACTUAL</v>
      </c>
      <c r="F148" s="48"/>
      <c r="G148" s="48" t="str">
        <f>+G5</f>
        <v>BUDGET</v>
      </c>
      <c r="H148" s="48"/>
      <c r="I148" s="48" t="str">
        <f>+I5</f>
        <v>BUDGET</v>
      </c>
      <c r="K148" s="48" t="str">
        <f>+K5</f>
        <v>CHANGE</v>
      </c>
    </row>
    <row r="149" spans="1:11" x14ac:dyDescent="0.2">
      <c r="A149" s="299"/>
      <c r="B149" s="299"/>
      <c r="C149" s="49" t="str">
        <f>+C6</f>
        <v>2010-11</v>
      </c>
      <c r="D149" s="49"/>
      <c r="E149" s="49" t="str">
        <f>+E6</f>
        <v>2010-11</v>
      </c>
      <c r="F149" s="49"/>
      <c r="G149" s="49" t="str">
        <f>+G6</f>
        <v>2011 -12</v>
      </c>
      <c r="H149" s="49"/>
      <c r="I149" s="49" t="str">
        <f>+I6</f>
        <v>2012 -13</v>
      </c>
      <c r="J149" s="299"/>
      <c r="K149" s="49" t="str">
        <f>+K6</f>
        <v>FY12/FY13</v>
      </c>
    </row>
    <row r="150" spans="1:11" x14ac:dyDescent="0.2">
      <c r="A150" s="6" t="s">
        <v>19</v>
      </c>
      <c r="C150" s="48"/>
      <c r="D150" s="48"/>
      <c r="E150" s="48"/>
      <c r="F150" s="48"/>
      <c r="G150" s="48"/>
      <c r="H150" s="48"/>
      <c r="I150" s="48"/>
      <c r="K150" s="48"/>
    </row>
    <row r="151" spans="1:11" x14ac:dyDescent="0.2">
      <c r="B151" s="6" t="s">
        <v>359</v>
      </c>
      <c r="C151" s="173">
        <v>0</v>
      </c>
      <c r="E151" s="16">
        <v>0</v>
      </c>
      <c r="G151" s="173">
        <v>0</v>
      </c>
      <c r="I151" s="173">
        <v>0</v>
      </c>
      <c r="K151" s="156">
        <v>0</v>
      </c>
    </row>
    <row r="152" spans="1:11" x14ac:dyDescent="0.2">
      <c r="B152" s="119" t="s">
        <v>417</v>
      </c>
      <c r="C152" s="176">
        <f>C151</f>
        <v>0</v>
      </c>
      <c r="E152" s="177">
        <f>E151</f>
        <v>0</v>
      </c>
      <c r="G152" s="176">
        <f>G151</f>
        <v>0</v>
      </c>
      <c r="I152" s="176">
        <f>I151</f>
        <v>0</v>
      </c>
      <c r="K152" s="247">
        <f>K151</f>
        <v>0</v>
      </c>
    </row>
    <row r="154" spans="1:11" x14ac:dyDescent="0.2">
      <c r="A154" s="6" t="s">
        <v>37</v>
      </c>
    </row>
    <row r="155" spans="1:11" x14ac:dyDescent="0.2">
      <c r="B155" s="6" t="s">
        <v>215</v>
      </c>
      <c r="C155" s="173">
        <v>0</v>
      </c>
      <c r="E155" s="16">
        <v>39575.79</v>
      </c>
      <c r="G155" s="173">
        <v>52659</v>
      </c>
      <c r="I155" s="173">
        <v>55447</v>
      </c>
      <c r="K155" s="156">
        <f t="shared" ref="K155:K156" si="18">+(I155-G155)/G155</f>
        <v>5.2944415959285215E-2</v>
      </c>
    </row>
    <row r="156" spans="1:11" x14ac:dyDescent="0.2">
      <c r="B156" s="6" t="s">
        <v>362</v>
      </c>
      <c r="C156" s="173">
        <v>0</v>
      </c>
      <c r="E156" s="16">
        <v>0</v>
      </c>
      <c r="G156" s="173">
        <v>16839</v>
      </c>
      <c r="I156" s="174">
        <v>0</v>
      </c>
      <c r="K156" s="156">
        <f t="shared" si="18"/>
        <v>-1</v>
      </c>
    </row>
    <row r="157" spans="1:11" x14ac:dyDescent="0.2">
      <c r="A157" s="178"/>
      <c r="B157" s="119" t="s">
        <v>23</v>
      </c>
      <c r="C157" s="176">
        <f>SUM(C155:C156)</f>
        <v>0</v>
      </c>
      <c r="E157" s="198">
        <f>SUM(E155:E156)</f>
        <v>39575.79</v>
      </c>
      <c r="G157" s="176">
        <f>SUM(G155:G156)</f>
        <v>69498</v>
      </c>
      <c r="I157" s="176">
        <f>SUM(I155:I156)</f>
        <v>55447</v>
      </c>
      <c r="K157" s="247">
        <f>+(I157-G157)/G157</f>
        <v>-0.20217847995625773</v>
      </c>
    </row>
    <row r="158" spans="1:11" x14ac:dyDescent="0.2">
      <c r="A158" s="178"/>
      <c r="B158" s="119"/>
      <c r="C158" s="173"/>
      <c r="E158" s="121"/>
      <c r="G158" s="173"/>
      <c r="I158" s="173"/>
    </row>
    <row r="159" spans="1:11" x14ac:dyDescent="0.2">
      <c r="A159" s="6" t="s">
        <v>24</v>
      </c>
    </row>
    <row r="160" spans="1:11" x14ac:dyDescent="0.2">
      <c r="B160" s="6" t="s">
        <v>175</v>
      </c>
      <c r="C160" s="173">
        <v>0</v>
      </c>
      <c r="E160" s="16">
        <v>1003.51</v>
      </c>
      <c r="G160" s="173">
        <v>1580</v>
      </c>
      <c r="I160" s="173">
        <f>(I156+I155)*0.03</f>
        <v>1663.4099999999999</v>
      </c>
      <c r="K160" s="156">
        <f t="shared" ref="K160:K162" si="19">+(I160-G160)/G160</f>
        <v>5.2791139240506234E-2</v>
      </c>
    </row>
    <row r="161" spans="1:11" x14ac:dyDescent="0.2">
      <c r="B161" s="6" t="s">
        <v>363</v>
      </c>
      <c r="C161" s="173">
        <v>0</v>
      </c>
      <c r="E161" s="16">
        <v>0</v>
      </c>
      <c r="G161" s="173">
        <v>2506</v>
      </c>
      <c r="I161" s="173">
        <f>+I156+(I156*0.03)</f>
        <v>0</v>
      </c>
      <c r="K161" s="156">
        <f t="shared" si="19"/>
        <v>-1</v>
      </c>
    </row>
    <row r="162" spans="1:11" x14ac:dyDescent="0.2">
      <c r="B162" s="6" t="s">
        <v>349</v>
      </c>
      <c r="C162" s="173">
        <v>0</v>
      </c>
      <c r="E162" s="16">
        <v>0</v>
      </c>
      <c r="G162" s="173">
        <v>10788</v>
      </c>
      <c r="I162" s="174">
        <v>0</v>
      </c>
      <c r="K162" s="156">
        <f t="shared" si="19"/>
        <v>-1</v>
      </c>
    </row>
    <row r="163" spans="1:11" x14ac:dyDescent="0.2">
      <c r="A163" s="178"/>
      <c r="B163" s="119" t="s">
        <v>38</v>
      </c>
      <c r="C163" s="176">
        <f>SUM(C160:C162)</f>
        <v>0</v>
      </c>
      <c r="E163" s="198">
        <f>SUM(E160:E162)</f>
        <v>1003.51</v>
      </c>
      <c r="G163" s="176">
        <f>SUM(G160:G162)</f>
        <v>14874</v>
      </c>
      <c r="I163" s="176">
        <f>SUM(I160:I162)</f>
        <v>1663.4099999999999</v>
      </c>
      <c r="K163" s="247">
        <f>+(I163-G163)/G163</f>
        <v>-0.88816659943525611</v>
      </c>
    </row>
    <row r="165" spans="1:11" x14ac:dyDescent="0.2">
      <c r="A165" s="6" t="s">
        <v>27</v>
      </c>
    </row>
    <row r="166" spans="1:11" x14ac:dyDescent="0.2">
      <c r="B166" s="6" t="s">
        <v>199</v>
      </c>
      <c r="C166" s="173">
        <v>0</v>
      </c>
      <c r="E166" s="16">
        <v>5465.64</v>
      </c>
      <c r="G166" s="173">
        <v>0</v>
      </c>
      <c r="I166" s="173">
        <v>0</v>
      </c>
      <c r="K166" s="156">
        <v>0</v>
      </c>
    </row>
    <row r="167" spans="1:11" x14ac:dyDescent="0.2">
      <c r="B167" s="6" t="s">
        <v>364</v>
      </c>
      <c r="C167" s="173">
        <v>7879</v>
      </c>
      <c r="E167" s="16">
        <v>12324.45</v>
      </c>
      <c r="G167" s="173">
        <v>15000</v>
      </c>
      <c r="I167" s="173">
        <v>5300</v>
      </c>
      <c r="K167" s="156">
        <f t="shared" ref="K167:K172" si="20">+(I167-G167)/G167</f>
        <v>-0.64666666666666661</v>
      </c>
    </row>
    <row r="168" spans="1:11" x14ac:dyDescent="0.2">
      <c r="B168" s="6" t="s">
        <v>354</v>
      </c>
      <c r="C168" s="173">
        <v>6303</v>
      </c>
      <c r="E168" s="16">
        <v>600</v>
      </c>
      <c r="G168" s="173">
        <v>2000</v>
      </c>
      <c r="I168" s="173">
        <v>2040</v>
      </c>
      <c r="K168" s="156">
        <f t="shared" si="20"/>
        <v>0.02</v>
      </c>
    </row>
    <row r="169" spans="1:11" x14ac:dyDescent="0.2">
      <c r="B169" s="6" t="s">
        <v>291</v>
      </c>
      <c r="C169" s="173">
        <v>1051</v>
      </c>
      <c r="E169" s="16">
        <v>445.39</v>
      </c>
      <c r="G169" s="173">
        <v>1072</v>
      </c>
      <c r="I169" s="173">
        <v>1093</v>
      </c>
      <c r="K169" s="156">
        <f t="shared" si="20"/>
        <v>1.9589552238805971E-2</v>
      </c>
    </row>
    <row r="170" spans="1:11" x14ac:dyDescent="0.2">
      <c r="B170" s="6" t="s">
        <v>183</v>
      </c>
      <c r="C170" s="173">
        <v>5253</v>
      </c>
      <c r="E170" s="16">
        <v>958.99</v>
      </c>
      <c r="G170" s="173">
        <v>2253</v>
      </c>
      <c r="I170" s="173">
        <v>2298</v>
      </c>
      <c r="K170" s="156">
        <f t="shared" si="20"/>
        <v>1.9973368841544607E-2</v>
      </c>
    </row>
    <row r="171" spans="1:11" x14ac:dyDescent="0.2">
      <c r="B171" s="6" t="s">
        <v>208</v>
      </c>
      <c r="C171" s="173">
        <v>6303</v>
      </c>
      <c r="E171" s="16">
        <v>5253.23</v>
      </c>
      <c r="G171" s="173">
        <v>6303</v>
      </c>
      <c r="I171" s="173">
        <v>16429</v>
      </c>
      <c r="K171" s="156">
        <f t="shared" si="20"/>
        <v>1.6065365698873553</v>
      </c>
    </row>
    <row r="172" spans="1:11" x14ac:dyDescent="0.2">
      <c r="B172" s="6" t="s">
        <v>81</v>
      </c>
      <c r="C172" s="174">
        <v>525</v>
      </c>
      <c r="E172" s="175"/>
      <c r="G172" s="174">
        <v>536</v>
      </c>
      <c r="I172" s="174">
        <v>547</v>
      </c>
      <c r="K172" s="156">
        <f t="shared" si="20"/>
        <v>2.0522388059701493E-2</v>
      </c>
    </row>
    <row r="173" spans="1:11" x14ac:dyDescent="0.2">
      <c r="B173" s="119" t="s">
        <v>76</v>
      </c>
      <c r="C173" s="176">
        <f>SUM(C166:C172)</f>
        <v>27314</v>
      </c>
      <c r="E173" s="198">
        <f>SUM(E166:E172)</f>
        <v>25047.7</v>
      </c>
      <c r="G173" s="176">
        <f>SUM(G167:G172)</f>
        <v>27164</v>
      </c>
      <c r="I173" s="176">
        <f>SUM(I167:I172)</f>
        <v>27707</v>
      </c>
      <c r="K173" s="247">
        <f>+(I173-G173)/G173</f>
        <v>1.9989692239729052E-2</v>
      </c>
    </row>
    <row r="174" spans="1:11" x14ac:dyDescent="0.2">
      <c r="G174" s="134"/>
      <c r="K174" s="156"/>
    </row>
    <row r="175" spans="1:11" x14ac:dyDescent="0.2">
      <c r="B175" s="6" t="s">
        <v>33</v>
      </c>
      <c r="C175" s="174">
        <f>+C157+C163+C173</f>
        <v>27314</v>
      </c>
      <c r="E175" s="193">
        <f>+E157+E163+E173</f>
        <v>65627</v>
      </c>
      <c r="G175" s="174">
        <f>+G157+G163+G173</f>
        <v>111536</v>
      </c>
      <c r="I175" s="174">
        <f>+I157+I163+I173</f>
        <v>84817.41</v>
      </c>
      <c r="K175" s="248">
        <f t="shared" ref="K175" si="21">+(I175-G175)/G175</f>
        <v>-0.23955126595897286</v>
      </c>
    </row>
    <row r="176" spans="1:11" x14ac:dyDescent="0.2">
      <c r="K176" s="156"/>
    </row>
    <row r="177" spans="1:11" ht="12.75" thickBot="1" x14ac:dyDescent="0.25">
      <c r="B177" s="6" t="s">
        <v>52</v>
      </c>
      <c r="C177" s="194">
        <f>+C151-C175</f>
        <v>-27314</v>
      </c>
      <c r="E177" s="195">
        <f>+E151-E175</f>
        <v>-65627</v>
      </c>
      <c r="G177" s="194">
        <f>+G151-G175</f>
        <v>-111536</v>
      </c>
      <c r="I177" s="194">
        <f>+I151-I175</f>
        <v>-84817.41</v>
      </c>
      <c r="K177" s="249">
        <f t="shared" ref="K177" si="22">+(I177-G177)/G177</f>
        <v>-0.23955126595897286</v>
      </c>
    </row>
    <row r="178" spans="1:11" ht="12.75" thickTop="1" x14ac:dyDescent="0.2"/>
    <row r="179" spans="1:11" ht="12.75" x14ac:dyDescent="0.2">
      <c r="A179" s="326" t="s">
        <v>331</v>
      </c>
      <c r="B179" s="326"/>
      <c r="C179" s="326"/>
      <c r="D179" s="326"/>
      <c r="E179" s="326"/>
      <c r="F179" s="326"/>
      <c r="G179" s="326"/>
      <c r="H179" s="326"/>
      <c r="I179" s="326"/>
      <c r="J179" s="326"/>
      <c r="K179" s="326"/>
    </row>
    <row r="180" spans="1:11" x14ac:dyDescent="0.2">
      <c r="A180" s="152"/>
      <c r="B180" s="152"/>
      <c r="C180" s="152"/>
      <c r="D180" s="152"/>
      <c r="E180" s="152"/>
      <c r="F180" s="152"/>
      <c r="G180" s="152"/>
      <c r="H180" s="152"/>
      <c r="I180" s="152"/>
    </row>
    <row r="181" spans="1:11" x14ac:dyDescent="0.2">
      <c r="C181" s="48" t="str">
        <f>+C4</f>
        <v>APPROVED</v>
      </c>
      <c r="D181" s="48"/>
      <c r="E181" s="48" t="str">
        <f>+E4</f>
        <v xml:space="preserve"> </v>
      </c>
      <c r="F181" s="48"/>
      <c r="G181" s="48" t="str">
        <f>+G4</f>
        <v>APPROVED</v>
      </c>
      <c r="H181" s="48"/>
      <c r="I181" s="48" t="str">
        <f>+I4</f>
        <v>REQUESTED</v>
      </c>
      <c r="K181" s="48" t="str">
        <f>+K4</f>
        <v>PERCENT</v>
      </c>
    </row>
    <row r="182" spans="1:11" x14ac:dyDescent="0.2">
      <c r="B182" s="196"/>
      <c r="C182" s="48" t="str">
        <f>+C5</f>
        <v>BUDGET</v>
      </c>
      <c r="D182" s="48"/>
      <c r="E182" s="48" t="str">
        <f>+E5</f>
        <v>ACTUAL</v>
      </c>
      <c r="F182" s="48"/>
      <c r="G182" s="48" t="str">
        <f>+G5</f>
        <v>BUDGET</v>
      </c>
      <c r="H182" s="48"/>
      <c r="I182" s="48" t="str">
        <f>+I5</f>
        <v>BUDGET</v>
      </c>
      <c r="K182" s="48" t="str">
        <f>+K5</f>
        <v>CHANGE</v>
      </c>
    </row>
    <row r="183" spans="1:11" x14ac:dyDescent="0.2">
      <c r="A183" s="299"/>
      <c r="B183" s="299"/>
      <c r="C183" s="49" t="str">
        <f>+C6</f>
        <v>2010-11</v>
      </c>
      <c r="D183" s="49"/>
      <c r="E183" s="49" t="str">
        <f>+E6</f>
        <v>2010-11</v>
      </c>
      <c r="F183" s="49"/>
      <c r="G183" s="49" t="str">
        <f>+G6</f>
        <v>2011 -12</v>
      </c>
      <c r="H183" s="49"/>
      <c r="I183" s="49" t="str">
        <f>+I6</f>
        <v>2012 -13</v>
      </c>
      <c r="J183" s="299"/>
      <c r="K183" s="49" t="str">
        <f>+K6</f>
        <v>FY12/FY13</v>
      </c>
    </row>
    <row r="184" spans="1:11" x14ac:dyDescent="0.2">
      <c r="A184" s="6" t="s">
        <v>19</v>
      </c>
      <c r="C184" s="48"/>
      <c r="D184" s="48"/>
      <c r="E184" s="48"/>
      <c r="F184" s="48"/>
      <c r="G184" s="48"/>
      <c r="H184" s="48"/>
      <c r="I184" s="48"/>
      <c r="K184" s="48"/>
    </row>
    <row r="185" spans="1:11" x14ac:dyDescent="0.2">
      <c r="B185" s="6" t="s">
        <v>365</v>
      </c>
      <c r="C185" s="173">
        <v>0</v>
      </c>
      <c r="E185" s="16">
        <v>60</v>
      </c>
      <c r="G185" s="173">
        <v>0</v>
      </c>
      <c r="I185" s="173">
        <v>0</v>
      </c>
      <c r="K185" s="156">
        <v>0</v>
      </c>
    </row>
    <row r="186" spans="1:11" x14ac:dyDescent="0.2">
      <c r="B186" s="119" t="s">
        <v>20</v>
      </c>
      <c r="C186" s="176">
        <f>C185</f>
        <v>0</v>
      </c>
      <c r="E186" s="177">
        <f>E185</f>
        <v>60</v>
      </c>
      <c r="G186" s="176">
        <f>G185</f>
        <v>0</v>
      </c>
      <c r="I186" s="176">
        <f>I185</f>
        <v>0</v>
      </c>
      <c r="K186" s="247">
        <f>K185</f>
        <v>0</v>
      </c>
    </row>
    <row r="188" spans="1:11" x14ac:dyDescent="0.2">
      <c r="A188" s="6" t="s">
        <v>37</v>
      </c>
    </row>
    <row r="189" spans="1:11" x14ac:dyDescent="0.2">
      <c r="B189" s="6" t="s">
        <v>215</v>
      </c>
      <c r="C189" s="173">
        <v>0</v>
      </c>
      <c r="E189" s="16">
        <v>13683.63</v>
      </c>
      <c r="G189" s="173">
        <v>0</v>
      </c>
      <c r="H189" s="173"/>
      <c r="I189" s="173">
        <v>25082</v>
      </c>
      <c r="K189" s="156">
        <v>1</v>
      </c>
    </row>
    <row r="190" spans="1:11" x14ac:dyDescent="0.2">
      <c r="B190" s="119" t="s">
        <v>23</v>
      </c>
      <c r="C190" s="176">
        <f>C189</f>
        <v>0</v>
      </c>
      <c r="E190" s="177">
        <f>E189</f>
        <v>13683.63</v>
      </c>
      <c r="G190" s="176">
        <f>G189</f>
        <v>0</v>
      </c>
      <c r="H190" s="173"/>
      <c r="I190" s="176">
        <f>I189</f>
        <v>25082</v>
      </c>
      <c r="K190" s="247">
        <f>K189</f>
        <v>1</v>
      </c>
    </row>
    <row r="192" spans="1:11" x14ac:dyDescent="0.2">
      <c r="A192" s="6" t="s">
        <v>24</v>
      </c>
    </row>
    <row r="193" spans="1:11" x14ac:dyDescent="0.2">
      <c r="B193" s="6" t="s">
        <v>175</v>
      </c>
      <c r="C193" s="173">
        <v>0</v>
      </c>
      <c r="E193" s="16">
        <v>152.49</v>
      </c>
      <c r="G193" s="173">
        <v>0</v>
      </c>
      <c r="H193" s="173"/>
      <c r="I193" s="173">
        <f>+I189*0.03</f>
        <v>752.45999999999992</v>
      </c>
      <c r="K193" s="156">
        <v>1</v>
      </c>
    </row>
    <row r="194" spans="1:11" x14ac:dyDescent="0.2">
      <c r="B194" s="119" t="s">
        <v>38</v>
      </c>
      <c r="C194" s="176">
        <f>C193</f>
        <v>0</v>
      </c>
      <c r="E194" s="177">
        <f>E193</f>
        <v>152.49</v>
      </c>
      <c r="G194" s="176">
        <f>G193</f>
        <v>0</v>
      </c>
      <c r="H194" s="173"/>
      <c r="I194" s="176">
        <f>I193</f>
        <v>752.45999999999992</v>
      </c>
      <c r="K194" s="247">
        <f>K193</f>
        <v>1</v>
      </c>
    </row>
    <row r="196" spans="1:11" x14ac:dyDescent="0.2">
      <c r="A196" s="6" t="s">
        <v>27</v>
      </c>
    </row>
    <row r="197" spans="1:11" x14ac:dyDescent="0.2">
      <c r="B197" s="6" t="s">
        <v>199</v>
      </c>
      <c r="C197" s="173">
        <v>1050</v>
      </c>
      <c r="E197" s="16">
        <v>6434.43</v>
      </c>
      <c r="G197" s="173">
        <v>1071</v>
      </c>
      <c r="H197" s="173"/>
      <c r="I197" s="173">
        <v>1092</v>
      </c>
      <c r="K197" s="156">
        <f t="shared" ref="K197:K201" si="23">+(I197-G197)/G197</f>
        <v>1.9607843137254902E-2</v>
      </c>
    </row>
    <row r="198" spans="1:11" x14ac:dyDescent="0.2">
      <c r="B198" s="6" t="s">
        <v>366</v>
      </c>
      <c r="C198" s="173">
        <v>1513</v>
      </c>
      <c r="E198" s="16">
        <v>133</v>
      </c>
      <c r="G198" s="173">
        <v>191</v>
      </c>
      <c r="H198" s="173"/>
      <c r="I198" s="173">
        <v>195</v>
      </c>
      <c r="K198" s="156">
        <f t="shared" si="23"/>
        <v>2.0942408376963352E-2</v>
      </c>
    </row>
    <row r="199" spans="1:11" x14ac:dyDescent="0.2">
      <c r="B199" s="6" t="s">
        <v>361</v>
      </c>
      <c r="C199" s="173">
        <v>3940</v>
      </c>
      <c r="E199" s="16">
        <v>317.02999999999997</v>
      </c>
      <c r="G199" s="173">
        <v>3940</v>
      </c>
      <c r="H199" s="173"/>
      <c r="I199" s="173">
        <v>4019</v>
      </c>
      <c r="K199" s="156">
        <f t="shared" si="23"/>
        <v>2.0050761421319795E-2</v>
      </c>
    </row>
    <row r="200" spans="1:11" x14ac:dyDescent="0.2">
      <c r="B200" s="6" t="s">
        <v>183</v>
      </c>
      <c r="C200" s="173">
        <v>4444</v>
      </c>
      <c r="E200" s="16">
        <v>132</v>
      </c>
      <c r="G200" s="173">
        <v>4444</v>
      </c>
      <c r="H200" s="173"/>
      <c r="I200" s="173">
        <v>4533</v>
      </c>
      <c r="K200" s="156">
        <f t="shared" si="23"/>
        <v>2.0027002700270028E-2</v>
      </c>
    </row>
    <row r="201" spans="1:11" x14ac:dyDescent="0.2">
      <c r="B201" s="6" t="s">
        <v>208</v>
      </c>
      <c r="C201" s="174">
        <v>5967</v>
      </c>
      <c r="E201" s="175">
        <v>6317.47</v>
      </c>
      <c r="G201" s="174">
        <v>5967</v>
      </c>
      <c r="H201" s="173"/>
      <c r="I201" s="174">
        <v>6086</v>
      </c>
      <c r="K201" s="156">
        <f t="shared" si="23"/>
        <v>1.9943019943019943E-2</v>
      </c>
    </row>
    <row r="202" spans="1:11" x14ac:dyDescent="0.2">
      <c r="B202" s="119" t="s">
        <v>76</v>
      </c>
      <c r="C202" s="176">
        <f>SUM(C197:C201)</f>
        <v>16914</v>
      </c>
      <c r="E202" s="198">
        <f>SUM(E197:E201)</f>
        <v>13333.93</v>
      </c>
      <c r="G202" s="176">
        <f>SUM(G197:G201)</f>
        <v>15613</v>
      </c>
      <c r="H202" s="173"/>
      <c r="I202" s="176">
        <f>SUM(I197:I201)</f>
        <v>15925</v>
      </c>
      <c r="K202" s="247">
        <f>+(I202-G202)/G202</f>
        <v>1.9983347210657785E-2</v>
      </c>
    </row>
    <row r="203" spans="1:11" x14ac:dyDescent="0.2">
      <c r="C203" s="173"/>
      <c r="G203" s="173"/>
      <c r="H203" s="173"/>
      <c r="I203" s="173"/>
      <c r="K203" s="156"/>
    </row>
    <row r="204" spans="1:11" x14ac:dyDescent="0.2">
      <c r="B204" s="6" t="s">
        <v>33</v>
      </c>
      <c r="C204" s="174">
        <f>+C202+C193+C189</f>
        <v>16914</v>
      </c>
      <c r="E204" s="193">
        <f>+E202+E193+E189</f>
        <v>27170.05</v>
      </c>
      <c r="G204" s="174">
        <f>+G202+G193+G189</f>
        <v>15613</v>
      </c>
      <c r="H204" s="173"/>
      <c r="I204" s="174">
        <f>+I202+I193+I189</f>
        <v>41759.46</v>
      </c>
      <c r="K204" s="248">
        <f t="shared" ref="K204" si="24">+(I204-G204)/G204</f>
        <v>1.6746595785563312</v>
      </c>
    </row>
    <row r="205" spans="1:11" x14ac:dyDescent="0.2">
      <c r="C205" s="173"/>
      <c r="G205" s="173"/>
      <c r="H205" s="173"/>
      <c r="I205" s="173"/>
      <c r="K205" s="156"/>
    </row>
    <row r="206" spans="1:11" ht="12.75" thickBot="1" x14ac:dyDescent="0.25">
      <c r="B206" s="6" t="s">
        <v>52</v>
      </c>
      <c r="C206" s="194">
        <f>+C185-C204</f>
        <v>-16914</v>
      </c>
      <c r="E206" s="195">
        <f>+E185-E204</f>
        <v>-27110.05</v>
      </c>
      <c r="G206" s="194">
        <f>+G185-G204</f>
        <v>-15613</v>
      </c>
      <c r="H206" s="173"/>
      <c r="I206" s="194">
        <f>+I185-I204</f>
        <v>-41759.46</v>
      </c>
      <c r="K206" s="249">
        <f t="shared" ref="K206" si="25">+(I206-G206)/G206</f>
        <v>1.6746595785563312</v>
      </c>
    </row>
    <row r="207" spans="1:11" ht="12.75" thickTop="1" x14ac:dyDescent="0.2"/>
    <row r="208" spans="1:11" ht="12.75" x14ac:dyDescent="0.2">
      <c r="A208" s="326" t="s">
        <v>332</v>
      </c>
      <c r="B208" s="326"/>
      <c r="C208" s="326"/>
      <c r="D208" s="326"/>
      <c r="E208" s="326"/>
      <c r="F208" s="326"/>
      <c r="G208" s="326"/>
      <c r="H208" s="326"/>
      <c r="I208" s="326"/>
      <c r="J208" s="326"/>
      <c r="K208" s="326"/>
    </row>
    <row r="209" spans="1:11" x14ac:dyDescent="0.2">
      <c r="A209" s="152"/>
      <c r="B209" s="152"/>
      <c r="C209" s="152"/>
      <c r="D209" s="152"/>
      <c r="E209" s="152"/>
      <c r="F209" s="152"/>
      <c r="G209" s="152"/>
      <c r="H209" s="152"/>
      <c r="I209" s="152"/>
    </row>
    <row r="210" spans="1:11" x14ac:dyDescent="0.2">
      <c r="C210" s="48" t="str">
        <f>+C4</f>
        <v>APPROVED</v>
      </c>
      <c r="D210" s="48"/>
      <c r="E210" s="48" t="str">
        <f>+E4</f>
        <v xml:space="preserve"> </v>
      </c>
      <c r="F210" s="48"/>
      <c r="G210" s="48" t="str">
        <f>+G4</f>
        <v>APPROVED</v>
      </c>
      <c r="H210" s="48"/>
      <c r="I210" s="48" t="str">
        <f>+I4</f>
        <v>REQUESTED</v>
      </c>
      <c r="K210" s="48" t="str">
        <f>+K4</f>
        <v>PERCENT</v>
      </c>
    </row>
    <row r="211" spans="1:11" x14ac:dyDescent="0.2">
      <c r="C211" s="48" t="str">
        <f>+C5</f>
        <v>BUDGET</v>
      </c>
      <c r="D211" s="48"/>
      <c r="E211" s="48" t="str">
        <f>+E5</f>
        <v>ACTUAL</v>
      </c>
      <c r="F211" s="48"/>
      <c r="G211" s="48" t="str">
        <f>+G5</f>
        <v>BUDGET</v>
      </c>
      <c r="H211" s="48"/>
      <c r="I211" s="48" t="str">
        <f>+I5</f>
        <v>BUDGET</v>
      </c>
      <c r="K211" s="48" t="str">
        <f>+K5</f>
        <v>CHANGE</v>
      </c>
    </row>
    <row r="212" spans="1:11" x14ac:dyDescent="0.2">
      <c r="A212" s="299"/>
      <c r="B212" s="313"/>
      <c r="C212" s="49" t="str">
        <f>+C6</f>
        <v>2010-11</v>
      </c>
      <c r="D212" s="49"/>
      <c r="E212" s="49" t="str">
        <f>+E6</f>
        <v>2010-11</v>
      </c>
      <c r="F212" s="49"/>
      <c r="G212" s="49" t="str">
        <f>+G6</f>
        <v>2011 -12</v>
      </c>
      <c r="H212" s="49"/>
      <c r="I212" s="49" t="str">
        <f>+I6</f>
        <v>2012 -13</v>
      </c>
      <c r="J212" s="299"/>
      <c r="K212" s="49" t="str">
        <f>+K6</f>
        <v>FY12/FY13</v>
      </c>
    </row>
    <row r="213" spans="1:11" x14ac:dyDescent="0.2">
      <c r="A213" s="6" t="s">
        <v>19</v>
      </c>
      <c r="B213" s="196"/>
      <c r="C213" s="48"/>
      <c r="D213" s="48"/>
      <c r="E213" s="48"/>
      <c r="F213" s="48"/>
      <c r="G213" s="48"/>
      <c r="H213" s="48"/>
      <c r="I213" s="48"/>
      <c r="K213" s="48"/>
    </row>
    <row r="214" spans="1:11" x14ac:dyDescent="0.2">
      <c r="B214" s="6" t="s">
        <v>333</v>
      </c>
      <c r="C214" s="173">
        <v>0</v>
      </c>
      <c r="E214" s="16">
        <v>0</v>
      </c>
      <c r="G214" s="173">
        <v>0</v>
      </c>
      <c r="H214" s="173"/>
      <c r="I214" s="173">
        <v>0</v>
      </c>
      <c r="K214" s="156">
        <v>0</v>
      </c>
    </row>
    <row r="215" spans="1:11" x14ac:dyDescent="0.2">
      <c r="B215" s="119" t="s">
        <v>20</v>
      </c>
      <c r="C215" s="176">
        <f>C214</f>
        <v>0</v>
      </c>
      <c r="E215" s="177">
        <f>E214</f>
        <v>0</v>
      </c>
      <c r="G215" s="176">
        <f>G214</f>
        <v>0</v>
      </c>
      <c r="H215" s="173"/>
      <c r="I215" s="176">
        <f>I214</f>
        <v>0</v>
      </c>
      <c r="K215" s="247">
        <f>K214</f>
        <v>0</v>
      </c>
    </row>
    <row r="217" spans="1:11" x14ac:dyDescent="0.2">
      <c r="A217" s="6" t="s">
        <v>27</v>
      </c>
    </row>
    <row r="218" spans="1:11" x14ac:dyDescent="0.2">
      <c r="B218" s="6" t="s">
        <v>368</v>
      </c>
      <c r="C218" s="173">
        <v>4000</v>
      </c>
      <c r="E218" s="16">
        <v>4301</v>
      </c>
      <c r="G218" s="173">
        <v>4000</v>
      </c>
      <c r="H218" s="173"/>
      <c r="I218" s="173">
        <v>4290</v>
      </c>
      <c r="K218" s="156">
        <f t="shared" ref="K218:K219" si="26">+(I218-G218)/G218</f>
        <v>7.2499999999999995E-2</v>
      </c>
    </row>
    <row r="219" spans="1:11" x14ac:dyDescent="0.2">
      <c r="B219" s="6" t="s">
        <v>367</v>
      </c>
      <c r="C219" s="174">
        <v>2167</v>
      </c>
      <c r="E219" s="175">
        <v>0</v>
      </c>
      <c r="G219" s="174">
        <v>2167</v>
      </c>
      <c r="H219" s="173"/>
      <c r="I219" s="174">
        <v>2000</v>
      </c>
      <c r="K219" s="156">
        <f t="shared" si="26"/>
        <v>-7.7065066912782643E-2</v>
      </c>
    </row>
    <row r="220" spans="1:11" x14ac:dyDescent="0.2">
      <c r="B220" s="119" t="s">
        <v>76</v>
      </c>
      <c r="C220" s="176">
        <f>SUM(C218:C219)</f>
        <v>6167</v>
      </c>
      <c r="E220" s="177">
        <f>SUM(E218:E219)</f>
        <v>4301</v>
      </c>
      <c r="G220" s="176">
        <f>SUM(G218:G219)</f>
        <v>6167</v>
      </c>
      <c r="H220" s="173"/>
      <c r="I220" s="176">
        <f>SUM(I218:I219)</f>
        <v>6290</v>
      </c>
      <c r="K220" s="247">
        <f>+(I220-G220)/G220</f>
        <v>1.9944867844981354E-2</v>
      </c>
    </row>
    <row r="221" spans="1:11" x14ac:dyDescent="0.2">
      <c r="C221" s="173"/>
      <c r="G221" s="173"/>
      <c r="H221" s="173"/>
      <c r="I221" s="173"/>
    </row>
    <row r="222" spans="1:11" x14ac:dyDescent="0.2">
      <c r="B222" s="6" t="s">
        <v>33</v>
      </c>
      <c r="C222" s="174">
        <f>C220</f>
        <v>6167</v>
      </c>
      <c r="E222" s="175">
        <f>E220</f>
        <v>4301</v>
      </c>
      <c r="G222" s="174">
        <f>G220</f>
        <v>6167</v>
      </c>
      <c r="H222" s="173"/>
      <c r="I222" s="174">
        <f>I220</f>
        <v>6290</v>
      </c>
      <c r="K222" s="248">
        <f>K220</f>
        <v>1.9944867844981354E-2</v>
      </c>
    </row>
    <row r="223" spans="1:11" x14ac:dyDescent="0.2">
      <c r="C223" s="173"/>
      <c r="G223" s="173"/>
      <c r="H223" s="173"/>
      <c r="I223" s="173"/>
    </row>
    <row r="224" spans="1:11" ht="12.75" thickBot="1" x14ac:dyDescent="0.25">
      <c r="B224" s="6" t="s">
        <v>52</v>
      </c>
      <c r="C224" s="194">
        <f>+C214-C220</f>
        <v>-6167</v>
      </c>
      <c r="E224" s="197">
        <f>+E214-E220</f>
        <v>-4301</v>
      </c>
      <c r="G224" s="194">
        <f>+G214-G220</f>
        <v>-6167</v>
      </c>
      <c r="H224" s="173"/>
      <c r="I224" s="194">
        <f>+I214-I220</f>
        <v>-6290</v>
      </c>
      <c r="K224" s="249">
        <f t="shared" ref="K224" si="27">+(I224-G224)/G224</f>
        <v>1.9944867844981354E-2</v>
      </c>
    </row>
    <row r="225" spans="1:11" ht="12.75" thickTop="1" x14ac:dyDescent="0.2"/>
    <row r="228" spans="1:11" ht="12.75" x14ac:dyDescent="0.2">
      <c r="A228" s="326" t="s">
        <v>334</v>
      </c>
      <c r="B228" s="326"/>
      <c r="C228" s="326"/>
      <c r="D228" s="326"/>
      <c r="E228" s="326"/>
      <c r="F228" s="326"/>
      <c r="G228" s="326"/>
      <c r="H228" s="326"/>
      <c r="I228" s="326"/>
      <c r="J228" s="326"/>
      <c r="K228" s="326"/>
    </row>
    <row r="230" spans="1:11" x14ac:dyDescent="0.2">
      <c r="C230" s="48" t="str">
        <f>+C4</f>
        <v>APPROVED</v>
      </c>
      <c r="D230" s="48"/>
      <c r="E230" s="48" t="str">
        <f>+E4</f>
        <v xml:space="preserve"> </v>
      </c>
      <c r="F230" s="48"/>
      <c r="G230" s="48" t="str">
        <f>+G4</f>
        <v>APPROVED</v>
      </c>
      <c r="H230" s="48"/>
      <c r="I230" s="48" t="str">
        <f>+I4</f>
        <v>REQUESTED</v>
      </c>
      <c r="K230" s="48" t="str">
        <f>+K4</f>
        <v>PERCENT</v>
      </c>
    </row>
    <row r="231" spans="1:11" x14ac:dyDescent="0.2">
      <c r="B231" s="196"/>
      <c r="C231" s="48" t="str">
        <f>+C5</f>
        <v>BUDGET</v>
      </c>
      <c r="D231" s="48"/>
      <c r="E231" s="48" t="str">
        <f>+E5</f>
        <v>ACTUAL</v>
      </c>
      <c r="F231" s="48"/>
      <c r="G231" s="48" t="str">
        <f>+G5</f>
        <v>BUDGET</v>
      </c>
      <c r="H231" s="48"/>
      <c r="I231" s="48" t="str">
        <f>+I5</f>
        <v>BUDGET</v>
      </c>
      <c r="K231" s="48" t="str">
        <f>+K5</f>
        <v>CHANGE</v>
      </c>
    </row>
    <row r="232" spans="1:11" x14ac:dyDescent="0.2">
      <c r="A232" s="299"/>
      <c r="B232" s="299"/>
      <c r="C232" s="49" t="str">
        <f>+C6</f>
        <v>2010-11</v>
      </c>
      <c r="D232" s="49"/>
      <c r="E232" s="49" t="str">
        <f>+E6</f>
        <v>2010-11</v>
      </c>
      <c r="F232" s="49"/>
      <c r="G232" s="49" t="str">
        <f>+G6</f>
        <v>2011 -12</v>
      </c>
      <c r="H232" s="49"/>
      <c r="I232" s="49" t="str">
        <f>+I6</f>
        <v>2012 -13</v>
      </c>
      <c r="J232" s="299"/>
      <c r="K232" s="49" t="str">
        <f>+K6</f>
        <v>FY12/FY13</v>
      </c>
    </row>
    <row r="233" spans="1:11" x14ac:dyDescent="0.2">
      <c r="A233" s="6" t="s">
        <v>19</v>
      </c>
      <c r="C233" s="48"/>
      <c r="D233" s="48"/>
      <c r="E233" s="48"/>
      <c r="F233" s="48"/>
      <c r="G233" s="48"/>
      <c r="H233" s="48"/>
      <c r="I233" s="48"/>
      <c r="K233" s="48"/>
    </row>
    <row r="234" spans="1:11" x14ac:dyDescent="0.2">
      <c r="B234" s="6" t="s">
        <v>369</v>
      </c>
      <c r="C234" s="173">
        <v>13000</v>
      </c>
      <c r="E234" s="16">
        <v>944.82</v>
      </c>
      <c r="G234" s="173">
        <v>13000</v>
      </c>
      <c r="I234" s="173">
        <v>0</v>
      </c>
      <c r="K234" s="156">
        <f t="shared" ref="K234" si="28">+(I234-G234)/G234</f>
        <v>-1</v>
      </c>
    </row>
    <row r="235" spans="1:11" x14ac:dyDescent="0.2">
      <c r="B235" s="6" t="s">
        <v>370</v>
      </c>
      <c r="C235" s="174">
        <v>0</v>
      </c>
      <c r="E235" s="175">
        <v>30136.17</v>
      </c>
      <c r="G235" s="174">
        <v>0</v>
      </c>
      <c r="I235" s="174">
        <v>13000</v>
      </c>
      <c r="K235" s="156">
        <v>1</v>
      </c>
    </row>
    <row r="236" spans="1:11" x14ac:dyDescent="0.2">
      <c r="B236" s="119" t="s">
        <v>20</v>
      </c>
      <c r="C236" s="176">
        <f>SUM(C234:C235)</f>
        <v>13000</v>
      </c>
      <c r="E236" s="177">
        <f>SUM(E234:E235)</f>
        <v>31080.989999999998</v>
      </c>
      <c r="G236" s="176">
        <f>SUM(G234:G235)</f>
        <v>13000</v>
      </c>
      <c r="I236" s="176">
        <f>SUM(I234:I235)</f>
        <v>13000</v>
      </c>
      <c r="K236" s="247">
        <f>+(I236-G236)/G236</f>
        <v>0</v>
      </c>
    </row>
    <row r="238" spans="1:11" x14ac:dyDescent="0.2">
      <c r="A238" s="6" t="s">
        <v>37</v>
      </c>
    </row>
    <row r="239" spans="1:11" x14ac:dyDescent="0.2">
      <c r="B239" s="6" t="s">
        <v>215</v>
      </c>
      <c r="C239" s="174">
        <v>17553</v>
      </c>
      <c r="E239" s="175">
        <v>12982.78</v>
      </c>
      <c r="G239" s="174">
        <v>17764</v>
      </c>
      <c r="H239" s="173"/>
      <c r="I239" s="174">
        <v>19086</v>
      </c>
      <c r="K239" s="156">
        <f t="shared" ref="K239" si="29">+(I239-G239)/G239</f>
        <v>7.4420175636117997E-2</v>
      </c>
    </row>
    <row r="240" spans="1:11" x14ac:dyDescent="0.2">
      <c r="B240" s="119" t="s">
        <v>23</v>
      </c>
      <c r="C240" s="176">
        <f>SUM(C239)</f>
        <v>17553</v>
      </c>
      <c r="E240" s="177">
        <f>SUM(E239)</f>
        <v>12982.78</v>
      </c>
      <c r="G240" s="174">
        <f>SUM(G239)</f>
        <v>17764</v>
      </c>
      <c r="H240" s="173"/>
      <c r="I240" s="176">
        <f>SUM(I239)</f>
        <v>19086</v>
      </c>
      <c r="K240" s="247">
        <f>+(I240-G240)/G240</f>
        <v>7.4420175636117997E-2</v>
      </c>
    </row>
    <row r="242" spans="1:11" x14ac:dyDescent="0.2">
      <c r="A242" s="6" t="s">
        <v>24</v>
      </c>
    </row>
    <row r="243" spans="1:11" x14ac:dyDescent="0.2">
      <c r="B243" s="6" t="s">
        <v>175</v>
      </c>
      <c r="C243" s="174">
        <v>327</v>
      </c>
      <c r="E243" s="175">
        <v>153.54</v>
      </c>
      <c r="G243" s="174">
        <v>920</v>
      </c>
      <c r="H243" s="173"/>
      <c r="I243" s="174">
        <f>+I239*0.03</f>
        <v>572.57999999999993</v>
      </c>
      <c r="K243" s="156">
        <f t="shared" ref="K243" si="30">+(I243-G243)/G243</f>
        <v>-0.37763043478260877</v>
      </c>
    </row>
    <row r="244" spans="1:11" x14ac:dyDescent="0.2">
      <c r="B244" s="119" t="s">
        <v>38</v>
      </c>
      <c r="C244" s="176">
        <f>SUM(C243)</f>
        <v>327</v>
      </c>
      <c r="E244" s="177">
        <f>SUM(E243)</f>
        <v>153.54</v>
      </c>
      <c r="G244" s="176">
        <f>SUM(G243)</f>
        <v>920</v>
      </c>
      <c r="H244" s="173"/>
      <c r="I244" s="176">
        <f>SUM(I243)</f>
        <v>572.57999999999993</v>
      </c>
      <c r="K244" s="247">
        <f>+(I244-G244)/G244</f>
        <v>-0.37763043478260877</v>
      </c>
    </row>
    <row r="246" spans="1:11" x14ac:dyDescent="0.2">
      <c r="A246" s="6" t="s">
        <v>27</v>
      </c>
    </row>
    <row r="247" spans="1:11" x14ac:dyDescent="0.2">
      <c r="B247" s="6" t="s">
        <v>287</v>
      </c>
      <c r="C247" s="173">
        <v>5306</v>
      </c>
      <c r="E247" s="16">
        <v>12337.01</v>
      </c>
      <c r="G247" s="173">
        <v>5412</v>
      </c>
      <c r="H247" s="173"/>
      <c r="I247" s="173">
        <v>5650</v>
      </c>
      <c r="K247" s="156">
        <f t="shared" ref="K247:K250" si="31">+(I247-G247)/G247</f>
        <v>4.3976348854397634E-2</v>
      </c>
    </row>
    <row r="248" spans="1:11" x14ac:dyDescent="0.2">
      <c r="B248" s="6" t="s">
        <v>178</v>
      </c>
      <c r="C248" s="173">
        <v>3152</v>
      </c>
      <c r="E248" s="16">
        <v>394</v>
      </c>
      <c r="G248" s="173">
        <v>3215</v>
      </c>
      <c r="H248" s="173"/>
      <c r="I248" s="173">
        <v>3629</v>
      </c>
      <c r="K248" s="156">
        <f t="shared" si="31"/>
        <v>0.12877138413685849</v>
      </c>
    </row>
    <row r="249" spans="1:11" x14ac:dyDescent="0.2">
      <c r="B249" s="6" t="s">
        <v>372</v>
      </c>
      <c r="C249" s="173">
        <v>525</v>
      </c>
      <c r="E249" s="16">
        <v>253.8</v>
      </c>
      <c r="G249" s="173">
        <v>525</v>
      </c>
      <c r="H249" s="173"/>
      <c r="I249" s="173">
        <v>536</v>
      </c>
      <c r="K249" s="156">
        <f t="shared" si="31"/>
        <v>2.0952380952380951E-2</v>
      </c>
    </row>
    <row r="250" spans="1:11" x14ac:dyDescent="0.2">
      <c r="B250" s="6" t="s">
        <v>371</v>
      </c>
      <c r="C250" s="173">
        <v>1576</v>
      </c>
      <c r="E250" s="16">
        <v>241.85</v>
      </c>
      <c r="G250" s="173">
        <v>1576</v>
      </c>
      <c r="H250" s="173"/>
      <c r="I250" s="173">
        <v>800</v>
      </c>
      <c r="K250" s="156">
        <f t="shared" si="31"/>
        <v>-0.49238578680203043</v>
      </c>
    </row>
    <row r="251" spans="1:11" x14ac:dyDescent="0.2">
      <c r="B251" s="6" t="s">
        <v>116</v>
      </c>
      <c r="C251" s="173">
        <v>540</v>
      </c>
      <c r="E251" s="16">
        <v>0</v>
      </c>
      <c r="G251" s="173">
        <v>0</v>
      </c>
      <c r="H251" s="173"/>
      <c r="I251" s="173">
        <v>0</v>
      </c>
      <c r="K251" s="156">
        <v>0</v>
      </c>
    </row>
    <row r="252" spans="1:11" x14ac:dyDescent="0.2">
      <c r="B252" s="6" t="s">
        <v>373</v>
      </c>
      <c r="C252" s="173">
        <v>977</v>
      </c>
      <c r="E252" s="16">
        <v>898.52</v>
      </c>
      <c r="G252" s="173">
        <v>1517</v>
      </c>
      <c r="H252" s="173"/>
      <c r="I252" s="173">
        <v>1547</v>
      </c>
      <c r="K252" s="156">
        <f t="shared" ref="K252" si="32">+(I252-G252)/G252</f>
        <v>1.9775873434410021E-2</v>
      </c>
    </row>
    <row r="253" spans="1:11" s="199" customFormat="1" hidden="1" x14ac:dyDescent="0.2">
      <c r="B253" s="199" t="s">
        <v>117</v>
      </c>
      <c r="C253" s="200"/>
      <c r="D253" s="201"/>
      <c r="E253" s="202"/>
      <c r="F253" s="201"/>
      <c r="G253" s="200"/>
      <c r="H253" s="203"/>
      <c r="I253" s="200"/>
    </row>
    <row r="254" spans="1:11" x14ac:dyDescent="0.2">
      <c r="B254" s="119" t="s">
        <v>76</v>
      </c>
      <c r="C254" s="176">
        <f>SUM(C247:C253)</f>
        <v>12076</v>
      </c>
      <c r="E254" s="177">
        <f>SUM(E247:E252)</f>
        <v>14125.18</v>
      </c>
      <c r="G254" s="176">
        <f>SUM(G247:G253)</f>
        <v>12245</v>
      </c>
      <c r="H254" s="173"/>
      <c r="I254" s="176">
        <f>SUM(I247:I253)</f>
        <v>12162</v>
      </c>
      <c r="K254" s="247">
        <f>+(I254-G254)/G254</f>
        <v>-6.7782768476929356E-3</v>
      </c>
    </row>
    <row r="256" spans="1:11" x14ac:dyDescent="0.2">
      <c r="B256" s="6" t="s">
        <v>33</v>
      </c>
      <c r="C256" s="174">
        <f>+C254+C244+C240</f>
        <v>29956</v>
      </c>
      <c r="E256" s="175">
        <f>+E254+E244+E240</f>
        <v>27261.5</v>
      </c>
      <c r="G256" s="174">
        <f>+G254+G244+G240</f>
        <v>30929</v>
      </c>
      <c r="I256" s="174">
        <f>+I254+I244+I240</f>
        <v>31820.58</v>
      </c>
      <c r="K256" s="248">
        <f t="shared" ref="K256" si="33">+(I256-G256)/G256</f>
        <v>2.8826667528856469E-2</v>
      </c>
    </row>
    <row r="258" spans="1:11" ht="12.75" thickBot="1" x14ac:dyDescent="0.25">
      <c r="B258" s="6" t="s">
        <v>52</v>
      </c>
      <c r="C258" s="204">
        <f>+C236-C256</f>
        <v>-16956</v>
      </c>
      <c r="E258" s="197">
        <f>+E236-E256</f>
        <v>3819.489999999998</v>
      </c>
      <c r="G258" s="194">
        <f>+G236-G256</f>
        <v>-17929</v>
      </c>
      <c r="H258" s="173"/>
      <c r="I258" s="194">
        <f>+I236-I256</f>
        <v>-18820.580000000002</v>
      </c>
      <c r="K258" s="249">
        <f t="shared" ref="K258" si="34">+(I258-G258)/G258</f>
        <v>4.9728373026939693E-2</v>
      </c>
    </row>
    <row r="259" spans="1:11" ht="12.75" thickTop="1" x14ac:dyDescent="0.2"/>
    <row r="260" spans="1:11" ht="12.75" x14ac:dyDescent="0.2">
      <c r="A260" s="326" t="s">
        <v>436</v>
      </c>
      <c r="B260" s="326"/>
      <c r="C260" s="326"/>
      <c r="D260" s="326"/>
      <c r="E260" s="326"/>
      <c r="F260" s="326"/>
      <c r="G260" s="326"/>
      <c r="H260" s="326"/>
      <c r="I260" s="326"/>
      <c r="J260" s="326"/>
      <c r="K260" s="326"/>
    </row>
    <row r="262" spans="1:11" x14ac:dyDescent="0.2">
      <c r="C262" s="48" t="str">
        <f>+C4</f>
        <v>APPROVED</v>
      </c>
      <c r="D262" s="48"/>
      <c r="E262" s="48" t="str">
        <f>+E4</f>
        <v xml:space="preserve"> </v>
      </c>
      <c r="F262" s="48"/>
      <c r="G262" s="48" t="str">
        <f>+G4</f>
        <v>APPROVED</v>
      </c>
      <c r="H262" s="48"/>
      <c r="I262" s="48" t="str">
        <f>+I4</f>
        <v>REQUESTED</v>
      </c>
      <c r="K262" s="48" t="str">
        <f>+K4</f>
        <v>PERCENT</v>
      </c>
    </row>
    <row r="263" spans="1:11" x14ac:dyDescent="0.2">
      <c r="B263" s="196"/>
      <c r="C263" s="48" t="str">
        <f>+C5</f>
        <v>BUDGET</v>
      </c>
      <c r="D263" s="48"/>
      <c r="E263" s="48" t="str">
        <f>+E5</f>
        <v>ACTUAL</v>
      </c>
      <c r="F263" s="48"/>
      <c r="G263" s="48" t="str">
        <f>+G5</f>
        <v>BUDGET</v>
      </c>
      <c r="H263" s="48"/>
      <c r="I263" s="48" t="str">
        <f>+I5</f>
        <v>BUDGET</v>
      </c>
      <c r="K263" s="48" t="str">
        <f>+K5</f>
        <v>CHANGE</v>
      </c>
    </row>
    <row r="264" spans="1:11" x14ac:dyDescent="0.2">
      <c r="A264" s="299"/>
      <c r="B264" s="299"/>
      <c r="C264" s="49" t="str">
        <f>+C6</f>
        <v>2010-11</v>
      </c>
      <c r="D264" s="49"/>
      <c r="E264" s="49" t="str">
        <f>+E6</f>
        <v>2010-11</v>
      </c>
      <c r="F264" s="49"/>
      <c r="G264" s="49" t="str">
        <f>+G6</f>
        <v>2011 -12</v>
      </c>
      <c r="H264" s="49"/>
      <c r="I264" s="49" t="str">
        <f>+I6</f>
        <v>2012 -13</v>
      </c>
      <c r="J264" s="299"/>
      <c r="K264" s="49" t="str">
        <f>+K6</f>
        <v>FY12/FY13</v>
      </c>
    </row>
    <row r="265" spans="1:11" x14ac:dyDescent="0.2">
      <c r="A265" s="6" t="s">
        <v>19</v>
      </c>
      <c r="C265" s="48"/>
      <c r="D265" s="48"/>
      <c r="E265" s="48"/>
      <c r="F265" s="48"/>
      <c r="G265" s="48"/>
      <c r="H265" s="48"/>
      <c r="I265" s="48"/>
    </row>
    <row r="266" spans="1:11" x14ac:dyDescent="0.2">
      <c r="B266" s="6" t="s">
        <v>365</v>
      </c>
      <c r="C266" s="111">
        <v>0</v>
      </c>
      <c r="D266" s="97"/>
      <c r="E266" s="97">
        <v>2030</v>
      </c>
      <c r="F266" s="97"/>
      <c r="G266" s="111">
        <v>0</v>
      </c>
      <c r="H266" s="48"/>
      <c r="I266" s="111">
        <v>0</v>
      </c>
      <c r="K266" s="156">
        <v>0</v>
      </c>
    </row>
    <row r="267" spans="1:11" x14ac:dyDescent="0.2">
      <c r="B267" s="119" t="s">
        <v>20</v>
      </c>
      <c r="C267" s="316">
        <f>C266</f>
        <v>0</v>
      </c>
      <c r="D267" s="97"/>
      <c r="E267" s="317">
        <f>E266</f>
        <v>2030</v>
      </c>
      <c r="F267" s="97"/>
      <c r="G267" s="316">
        <f>G266</f>
        <v>0</v>
      </c>
      <c r="H267" s="48"/>
      <c r="I267" s="316">
        <f>I266</f>
        <v>0</v>
      </c>
      <c r="K267" s="247">
        <f>K266</f>
        <v>0</v>
      </c>
    </row>
    <row r="268" spans="1:11" x14ac:dyDescent="0.2">
      <c r="C268" s="205"/>
      <c r="D268" s="48"/>
      <c r="E268" s="48"/>
      <c r="F268" s="48"/>
      <c r="G268" s="48"/>
      <c r="H268" s="48"/>
      <c r="I268" s="48"/>
    </row>
    <row r="269" spans="1:11" x14ac:dyDescent="0.2">
      <c r="A269" s="6" t="s">
        <v>37</v>
      </c>
      <c r="C269" s="173"/>
    </row>
    <row r="270" spans="1:11" x14ac:dyDescent="0.2">
      <c r="B270" s="6" t="s">
        <v>215</v>
      </c>
      <c r="C270" s="174">
        <v>23454</v>
      </c>
      <c r="E270" s="175">
        <v>17403.53</v>
      </c>
      <c r="G270" s="174">
        <v>23735</v>
      </c>
      <c r="I270" s="174">
        <v>29640</v>
      </c>
      <c r="K270" s="156">
        <f t="shared" ref="K270" si="35">+(I270-G270)/G270</f>
        <v>0.24878870865809985</v>
      </c>
    </row>
    <row r="271" spans="1:11" x14ac:dyDescent="0.2">
      <c r="B271" s="119" t="s">
        <v>23</v>
      </c>
      <c r="C271" s="176">
        <f>SUM(C270)</f>
        <v>23454</v>
      </c>
      <c r="E271" s="177">
        <f>SUM(E270)</f>
        <v>17403.53</v>
      </c>
      <c r="G271" s="176">
        <f>SUM(G270)</f>
        <v>23735</v>
      </c>
      <c r="I271" s="176">
        <f>SUM(I270)</f>
        <v>29640</v>
      </c>
      <c r="K271" s="247">
        <f>+(I271-G271)/G271</f>
        <v>0.24878870865809985</v>
      </c>
    </row>
    <row r="272" spans="1:11" x14ac:dyDescent="0.2">
      <c r="G272" s="173"/>
    </row>
    <row r="273" spans="1:11" x14ac:dyDescent="0.2">
      <c r="A273" s="6" t="s">
        <v>24</v>
      </c>
    </row>
    <row r="274" spans="1:11" x14ac:dyDescent="0.2">
      <c r="B274" s="6" t="s">
        <v>374</v>
      </c>
      <c r="C274" s="174">
        <v>357</v>
      </c>
      <c r="E274" s="175">
        <v>144.52000000000001</v>
      </c>
      <c r="G274" s="174">
        <v>793</v>
      </c>
      <c r="I274" s="174">
        <f>+I270*0.03</f>
        <v>889.19999999999993</v>
      </c>
      <c r="K274" s="156">
        <f t="shared" ref="K274" si="36">+(I274-G274)/G274</f>
        <v>0.12131147540983597</v>
      </c>
    </row>
    <row r="275" spans="1:11" x14ac:dyDescent="0.2">
      <c r="B275" s="119" t="s">
        <v>38</v>
      </c>
      <c r="C275" s="176">
        <f>SUM(C274)</f>
        <v>357</v>
      </c>
      <c r="E275" s="177">
        <f>SUM(E274)</f>
        <v>144.52000000000001</v>
      </c>
      <c r="G275" s="176">
        <f>SUM(G274)</f>
        <v>793</v>
      </c>
      <c r="I275" s="176">
        <f>SUM(I274)</f>
        <v>889.19999999999993</v>
      </c>
      <c r="K275" s="247">
        <f>+(I275-G275)/G275</f>
        <v>0.12131147540983597</v>
      </c>
    </row>
    <row r="277" spans="1:11" x14ac:dyDescent="0.2">
      <c r="A277" s="6" t="s">
        <v>27</v>
      </c>
    </row>
    <row r="278" spans="1:11" x14ac:dyDescent="0.2">
      <c r="B278" s="6" t="s">
        <v>199</v>
      </c>
      <c r="C278" s="173">
        <v>1891</v>
      </c>
      <c r="E278" s="16">
        <v>450.27</v>
      </c>
      <c r="G278" s="173">
        <f>1929+1500</f>
        <v>3429</v>
      </c>
      <c r="I278" s="173">
        <v>3498</v>
      </c>
      <c r="K278" s="156">
        <f t="shared" ref="K278:K287" si="37">+(I278-G278)/G278</f>
        <v>2.0122484689413824E-2</v>
      </c>
    </row>
    <row r="279" spans="1:11" x14ac:dyDescent="0.2">
      <c r="B279" s="6" t="s">
        <v>375</v>
      </c>
      <c r="C279" s="173">
        <v>599</v>
      </c>
      <c r="E279" s="16">
        <v>283.92</v>
      </c>
      <c r="G279" s="173">
        <v>599</v>
      </c>
      <c r="I279" s="173">
        <v>611</v>
      </c>
      <c r="K279" s="156">
        <f t="shared" si="37"/>
        <v>2.003338898163606E-2</v>
      </c>
    </row>
    <row r="280" spans="1:11" x14ac:dyDescent="0.2">
      <c r="B280" s="6" t="s">
        <v>376</v>
      </c>
      <c r="C280" s="173">
        <v>26</v>
      </c>
      <c r="E280" s="16">
        <v>35.869999999999997</v>
      </c>
      <c r="G280" s="173">
        <v>26</v>
      </c>
      <c r="I280" s="173">
        <v>27</v>
      </c>
      <c r="K280" s="156">
        <f t="shared" si="37"/>
        <v>3.8461538461538464E-2</v>
      </c>
    </row>
    <row r="281" spans="1:11" x14ac:dyDescent="0.2">
      <c r="B281" s="6" t="s">
        <v>377</v>
      </c>
      <c r="C281" s="173">
        <v>735</v>
      </c>
      <c r="E281" s="16">
        <v>205</v>
      </c>
      <c r="G281" s="173">
        <v>735</v>
      </c>
      <c r="I281" s="173">
        <v>750</v>
      </c>
      <c r="K281" s="156">
        <f t="shared" si="37"/>
        <v>2.0408163265306121E-2</v>
      </c>
    </row>
    <row r="282" spans="1:11" x14ac:dyDescent="0.2">
      <c r="B282" s="6" t="s">
        <v>378</v>
      </c>
      <c r="C282" s="173">
        <v>105</v>
      </c>
      <c r="E282" s="16">
        <v>227</v>
      </c>
      <c r="G282" s="173">
        <v>107</v>
      </c>
      <c r="I282" s="173">
        <v>109</v>
      </c>
      <c r="K282" s="156">
        <f t="shared" si="37"/>
        <v>1.8691588785046728E-2</v>
      </c>
    </row>
    <row r="283" spans="1:11" x14ac:dyDescent="0.2">
      <c r="B283" s="6" t="s">
        <v>354</v>
      </c>
      <c r="C283" s="173">
        <v>525</v>
      </c>
      <c r="E283" s="16">
        <v>0</v>
      </c>
      <c r="G283" s="173">
        <v>525</v>
      </c>
      <c r="I283" s="173">
        <v>536</v>
      </c>
      <c r="K283" s="156">
        <f t="shared" si="37"/>
        <v>2.0952380952380951E-2</v>
      </c>
    </row>
    <row r="284" spans="1:11" x14ac:dyDescent="0.2">
      <c r="B284" s="6" t="s">
        <v>379</v>
      </c>
      <c r="C284" s="173">
        <v>788</v>
      </c>
      <c r="E284" s="16">
        <v>431.14</v>
      </c>
      <c r="G284" s="173">
        <v>788</v>
      </c>
      <c r="I284" s="173">
        <v>804</v>
      </c>
      <c r="K284" s="156">
        <f t="shared" si="37"/>
        <v>2.030456852791878E-2</v>
      </c>
    </row>
    <row r="285" spans="1:11" x14ac:dyDescent="0.2">
      <c r="B285" s="6" t="s">
        <v>381</v>
      </c>
      <c r="C285" s="173">
        <v>420</v>
      </c>
      <c r="E285" s="16">
        <v>0</v>
      </c>
      <c r="G285" s="173">
        <v>420</v>
      </c>
      <c r="I285" s="173">
        <v>428</v>
      </c>
      <c r="K285" s="156">
        <f t="shared" si="37"/>
        <v>1.9047619047619049E-2</v>
      </c>
    </row>
    <row r="286" spans="1:11" x14ac:dyDescent="0.2">
      <c r="B286" s="6" t="s">
        <v>380</v>
      </c>
      <c r="C286" s="173">
        <v>683</v>
      </c>
      <c r="E286" s="16">
        <v>1014.13</v>
      </c>
      <c r="G286" s="173">
        <v>683</v>
      </c>
      <c r="I286" s="173">
        <v>697</v>
      </c>
      <c r="K286" s="156">
        <f t="shared" si="37"/>
        <v>2.0497803806734993E-2</v>
      </c>
    </row>
    <row r="287" spans="1:11" x14ac:dyDescent="0.2">
      <c r="B287" s="6" t="s">
        <v>187</v>
      </c>
      <c r="C287" s="174">
        <v>2758</v>
      </c>
      <c r="E287" s="175">
        <v>1437.72</v>
      </c>
      <c r="G287" s="174">
        <v>2758</v>
      </c>
      <c r="I287" s="174">
        <v>2813</v>
      </c>
      <c r="K287" s="156">
        <f t="shared" si="37"/>
        <v>1.9941986947063089E-2</v>
      </c>
    </row>
    <row r="288" spans="1:11" x14ac:dyDescent="0.2">
      <c r="B288" s="119" t="s">
        <v>76</v>
      </c>
      <c r="C288" s="174">
        <f>SUM(C278:C287)</f>
        <v>8530</v>
      </c>
      <c r="E288" s="175">
        <f>SUM(E278:E287)</f>
        <v>4085.05</v>
      </c>
      <c r="G288" s="174">
        <f>SUM(G278:G287)</f>
        <v>10070</v>
      </c>
      <c r="I288" s="174">
        <f>SUM(I278:I287)</f>
        <v>10273</v>
      </c>
      <c r="K288" s="247">
        <f>+(I288-G288)/G288</f>
        <v>2.0158887785501491E-2</v>
      </c>
    </row>
    <row r="290" spans="1:11" x14ac:dyDescent="0.2">
      <c r="B290" s="6" t="s">
        <v>33</v>
      </c>
      <c r="C290" s="174">
        <f>+C288+C275+C271</f>
        <v>32341</v>
      </c>
      <c r="E290" s="175">
        <f>+E288+E275+E271</f>
        <v>21633.1</v>
      </c>
      <c r="G290" s="174">
        <f>+G288+G275+G271</f>
        <v>34598</v>
      </c>
      <c r="H290" s="173"/>
      <c r="I290" s="174">
        <f>+I288+I275+I271</f>
        <v>40802.199999999997</v>
      </c>
      <c r="K290" s="248">
        <f t="shared" ref="K290" si="38">+(I290-G290)/G290</f>
        <v>0.1793225041909936</v>
      </c>
    </row>
    <row r="291" spans="1:11" x14ac:dyDescent="0.2">
      <c r="C291" s="173"/>
      <c r="G291" s="173"/>
      <c r="H291" s="173"/>
      <c r="I291" s="173"/>
    </row>
    <row r="292" spans="1:11" ht="12.75" thickBot="1" x14ac:dyDescent="0.25">
      <c r="B292" s="6" t="s">
        <v>52</v>
      </c>
      <c r="C292" s="194">
        <f>+C266-C290</f>
        <v>-32341</v>
      </c>
      <c r="E292" s="197">
        <f>+E266-E290</f>
        <v>-19603.099999999999</v>
      </c>
      <c r="G292" s="194">
        <f>+G266-G290</f>
        <v>-34598</v>
      </c>
      <c r="H292" s="173"/>
      <c r="I292" s="194">
        <f>+I266-I290</f>
        <v>-40802.199999999997</v>
      </c>
      <c r="K292" s="249">
        <f t="shared" ref="K292" si="39">+(I292-G292)/G292</f>
        <v>0.1793225041909936</v>
      </c>
    </row>
    <row r="293" spans="1:11" ht="12.75" thickTop="1" x14ac:dyDescent="0.2"/>
    <row r="294" spans="1:11" ht="12.75" x14ac:dyDescent="0.2">
      <c r="A294" s="326" t="s">
        <v>335</v>
      </c>
      <c r="B294" s="326"/>
      <c r="C294" s="326"/>
      <c r="D294" s="326"/>
      <c r="E294" s="326"/>
      <c r="F294" s="326"/>
      <c r="G294" s="326"/>
      <c r="H294" s="326"/>
      <c r="I294" s="326"/>
      <c r="J294" s="326"/>
      <c r="K294" s="326"/>
    </row>
    <row r="296" spans="1:11" x14ac:dyDescent="0.2">
      <c r="C296" s="48" t="str">
        <f>+C4</f>
        <v>APPROVED</v>
      </c>
      <c r="D296" s="48"/>
      <c r="E296" s="48" t="str">
        <f>+E4</f>
        <v xml:space="preserve"> </v>
      </c>
      <c r="F296" s="48"/>
      <c r="G296" s="48" t="str">
        <f>+G4</f>
        <v>APPROVED</v>
      </c>
      <c r="H296" s="48"/>
      <c r="I296" s="48" t="str">
        <f>+I4</f>
        <v>REQUESTED</v>
      </c>
      <c r="K296" s="48" t="str">
        <f>+K4</f>
        <v>PERCENT</v>
      </c>
    </row>
    <row r="297" spans="1:11" x14ac:dyDescent="0.2">
      <c r="B297" s="196"/>
      <c r="C297" s="48" t="str">
        <f>+C5</f>
        <v>BUDGET</v>
      </c>
      <c r="D297" s="48"/>
      <c r="E297" s="48" t="str">
        <f>+E5</f>
        <v>ACTUAL</v>
      </c>
      <c r="F297" s="48"/>
      <c r="G297" s="48" t="str">
        <f>+G5</f>
        <v>BUDGET</v>
      </c>
      <c r="H297" s="48"/>
      <c r="I297" s="48" t="str">
        <f>+I5</f>
        <v>BUDGET</v>
      </c>
      <c r="K297" s="48" t="str">
        <f>+K5</f>
        <v>CHANGE</v>
      </c>
    </row>
    <row r="298" spans="1:11" x14ac:dyDescent="0.2">
      <c r="A298" s="299"/>
      <c r="B298" s="299"/>
      <c r="C298" s="49" t="str">
        <f>+C6</f>
        <v>2010-11</v>
      </c>
      <c r="D298" s="49"/>
      <c r="E298" s="49" t="str">
        <f>+E6</f>
        <v>2010-11</v>
      </c>
      <c r="F298" s="49"/>
      <c r="G298" s="49" t="str">
        <f>+G6</f>
        <v>2011 -12</v>
      </c>
      <c r="H298" s="49"/>
      <c r="I298" s="49" t="str">
        <f>+I6</f>
        <v>2012 -13</v>
      </c>
      <c r="J298" s="299"/>
      <c r="K298" s="49" t="str">
        <f>+K6</f>
        <v>FY12/FY13</v>
      </c>
    </row>
    <row r="299" spans="1:11" x14ac:dyDescent="0.2">
      <c r="A299" s="6" t="s">
        <v>19</v>
      </c>
      <c r="C299" s="48"/>
      <c r="D299" s="48"/>
      <c r="E299" s="48"/>
      <c r="F299" s="48"/>
      <c r="G299" s="205"/>
      <c r="H299" s="205"/>
      <c r="I299" s="205"/>
      <c r="K299" s="48"/>
    </row>
    <row r="300" spans="1:11" x14ac:dyDescent="0.2">
      <c r="B300" s="6" t="s">
        <v>382</v>
      </c>
      <c r="C300" s="173">
        <v>0</v>
      </c>
      <c r="E300" s="16">
        <v>0</v>
      </c>
      <c r="G300" s="173">
        <v>0</v>
      </c>
      <c r="H300" s="173"/>
      <c r="I300" s="173">
        <v>0</v>
      </c>
      <c r="K300" s="107">
        <v>0</v>
      </c>
    </row>
    <row r="301" spans="1:11" x14ac:dyDescent="0.2">
      <c r="B301" s="119" t="s">
        <v>20</v>
      </c>
      <c r="C301" s="176">
        <f>C300</f>
        <v>0</v>
      </c>
      <c r="E301" s="177">
        <f>E300</f>
        <v>0</v>
      </c>
      <c r="G301" s="176">
        <f>G300</f>
        <v>0</v>
      </c>
      <c r="H301" s="173"/>
      <c r="I301" s="176">
        <f>I300</f>
        <v>0</v>
      </c>
      <c r="K301" s="318">
        <f>K300</f>
        <v>0</v>
      </c>
    </row>
    <row r="302" spans="1:11" x14ac:dyDescent="0.2">
      <c r="C302" s="173"/>
      <c r="G302" s="173"/>
      <c r="H302" s="173"/>
      <c r="I302" s="173"/>
    </row>
    <row r="303" spans="1:11" x14ac:dyDescent="0.2">
      <c r="A303" s="6" t="s">
        <v>37</v>
      </c>
      <c r="C303" s="173"/>
      <c r="G303" s="173"/>
      <c r="H303" s="173"/>
      <c r="I303" s="173"/>
    </row>
    <row r="304" spans="1:11" x14ac:dyDescent="0.2">
      <c r="B304" s="6" t="s">
        <v>215</v>
      </c>
      <c r="C304" s="173">
        <v>3944</v>
      </c>
      <c r="E304" s="16">
        <v>3886.37</v>
      </c>
      <c r="G304" s="173">
        <v>3991</v>
      </c>
      <c r="H304" s="173"/>
      <c r="I304" s="173">
        <v>4180</v>
      </c>
      <c r="K304" s="156">
        <f t="shared" ref="K304:K305" si="40">+(I304-G304)/G304</f>
        <v>4.735655224254573E-2</v>
      </c>
    </row>
    <row r="305" spans="1:11" x14ac:dyDescent="0.2">
      <c r="B305" s="6" t="s">
        <v>383</v>
      </c>
      <c r="C305" s="173">
        <v>17110</v>
      </c>
      <c r="E305" s="16">
        <v>16523.41</v>
      </c>
      <c r="G305" s="173">
        <v>17110</v>
      </c>
      <c r="H305" s="173"/>
      <c r="I305" s="174">
        <v>17110</v>
      </c>
      <c r="K305" s="156">
        <f t="shared" si="40"/>
        <v>0</v>
      </c>
    </row>
    <row r="306" spans="1:11" x14ac:dyDescent="0.2">
      <c r="B306" s="119" t="s">
        <v>23</v>
      </c>
      <c r="C306" s="176">
        <f>SUM(C304:C305)</f>
        <v>21054</v>
      </c>
      <c r="E306" s="177">
        <f>SUM(E304:E305)</f>
        <v>20409.78</v>
      </c>
      <c r="G306" s="176">
        <f>SUM(G304:G305)</f>
        <v>21101</v>
      </c>
      <c r="H306" s="173"/>
      <c r="I306" s="176">
        <f>SUM(I304:I305)</f>
        <v>21290</v>
      </c>
      <c r="K306" s="247">
        <f>+(I306-G306)/G306</f>
        <v>8.9569214729159751E-3</v>
      </c>
    </row>
    <row r="307" spans="1:11" x14ac:dyDescent="0.2">
      <c r="C307" s="173"/>
      <c r="G307" s="173"/>
      <c r="H307" s="173"/>
      <c r="I307" s="173"/>
    </row>
    <row r="308" spans="1:11" x14ac:dyDescent="0.2">
      <c r="A308" s="6" t="s">
        <v>24</v>
      </c>
      <c r="B308" s="6" t="s">
        <v>175</v>
      </c>
      <c r="C308" s="173">
        <v>123</v>
      </c>
      <c r="E308" s="16">
        <v>113.57</v>
      </c>
      <c r="G308" s="173">
        <v>133</v>
      </c>
      <c r="H308" s="173"/>
      <c r="I308" s="173">
        <f>+I304*0.03</f>
        <v>125.39999999999999</v>
      </c>
      <c r="K308" s="156">
        <f t="shared" ref="K308:K310" si="41">+(I308-G308)/G308</f>
        <v>-5.7142857142857204E-2</v>
      </c>
    </row>
    <row r="309" spans="1:11" x14ac:dyDescent="0.2">
      <c r="B309" s="6" t="s">
        <v>363</v>
      </c>
      <c r="C309" s="173">
        <v>2043</v>
      </c>
      <c r="E309" s="16">
        <v>2050.86</v>
      </c>
      <c r="G309" s="173">
        <v>2506</v>
      </c>
      <c r="H309" s="173"/>
      <c r="I309" s="173">
        <f>+I305*0.03</f>
        <v>513.29999999999995</v>
      </c>
      <c r="K309" s="156">
        <f t="shared" si="41"/>
        <v>-0.79517158818834799</v>
      </c>
    </row>
    <row r="310" spans="1:11" x14ac:dyDescent="0.2">
      <c r="B310" s="6" t="s">
        <v>384</v>
      </c>
      <c r="C310" s="174">
        <v>11070</v>
      </c>
      <c r="E310" s="175">
        <v>10422</v>
      </c>
      <c r="G310" s="174">
        <v>11070</v>
      </c>
      <c r="H310" s="173"/>
      <c r="I310" s="174">
        <f>+(15801*0.026)+15801</f>
        <v>16211.825999999999</v>
      </c>
      <c r="K310" s="156">
        <f t="shared" si="41"/>
        <v>0.46448292682926823</v>
      </c>
    </row>
    <row r="311" spans="1:11" x14ac:dyDescent="0.2">
      <c r="B311" s="119" t="s">
        <v>38</v>
      </c>
      <c r="C311" s="176">
        <f>SUM(C308:C310)</f>
        <v>13236</v>
      </c>
      <c r="E311" s="177">
        <f>SUM(E308:E310)</f>
        <v>12586.43</v>
      </c>
      <c r="G311" s="176">
        <f>SUM(G308:G310)</f>
        <v>13709</v>
      </c>
      <c r="H311" s="173"/>
      <c r="I311" s="176">
        <f>SUM(I308:I310)</f>
        <v>16850.525999999998</v>
      </c>
      <c r="K311" s="247">
        <f>+(I311-G311)/G311</f>
        <v>0.22915792545043387</v>
      </c>
    </row>
    <row r="312" spans="1:11" x14ac:dyDescent="0.2">
      <c r="A312" s="6" t="s">
        <v>27</v>
      </c>
      <c r="C312" s="173"/>
      <c r="G312" s="173"/>
      <c r="H312" s="173"/>
      <c r="I312" s="173"/>
    </row>
    <row r="313" spans="1:11" x14ac:dyDescent="0.2">
      <c r="B313" s="6" t="s">
        <v>287</v>
      </c>
      <c r="C313" s="173">
        <v>849</v>
      </c>
      <c r="E313" s="16">
        <v>2657.24</v>
      </c>
      <c r="G313" s="173">
        <v>849</v>
      </c>
      <c r="H313" s="173"/>
      <c r="I313" s="173">
        <v>866</v>
      </c>
      <c r="K313" s="156">
        <f t="shared" ref="K313:K317" si="42">+(I313-G313)/G313</f>
        <v>2.0023557126030624E-2</v>
      </c>
    </row>
    <row r="314" spans="1:11" x14ac:dyDescent="0.2">
      <c r="B314" s="6" t="s">
        <v>385</v>
      </c>
      <c r="C314" s="173">
        <v>4202</v>
      </c>
      <c r="E314" s="16">
        <v>2530</v>
      </c>
      <c r="G314" s="173">
        <v>4202</v>
      </c>
      <c r="H314" s="173"/>
      <c r="I314" s="173">
        <f>4286+2100</f>
        <v>6386</v>
      </c>
      <c r="K314" s="156">
        <f t="shared" si="42"/>
        <v>0.51975249881009045</v>
      </c>
    </row>
    <row r="315" spans="1:11" x14ac:dyDescent="0.2">
      <c r="B315" s="6" t="s">
        <v>379</v>
      </c>
      <c r="C315" s="173">
        <v>315</v>
      </c>
      <c r="E315" s="16">
        <v>497.95</v>
      </c>
      <c r="G315" s="173">
        <v>315</v>
      </c>
      <c r="H315" s="173"/>
      <c r="I315" s="173">
        <v>321</v>
      </c>
      <c r="K315" s="156">
        <f t="shared" si="42"/>
        <v>1.9047619047619049E-2</v>
      </c>
    </row>
    <row r="316" spans="1:11" x14ac:dyDescent="0.2">
      <c r="B316" s="6" t="s">
        <v>183</v>
      </c>
      <c r="C316" s="173">
        <v>210</v>
      </c>
      <c r="E316" s="16">
        <v>0</v>
      </c>
      <c r="G316" s="173">
        <v>210</v>
      </c>
      <c r="H316" s="173"/>
      <c r="I316" s="173">
        <v>214</v>
      </c>
      <c r="K316" s="156">
        <f t="shared" si="42"/>
        <v>1.9047619047619049E-2</v>
      </c>
    </row>
    <row r="317" spans="1:11" x14ac:dyDescent="0.2">
      <c r="B317" s="6" t="s">
        <v>386</v>
      </c>
      <c r="C317" s="174">
        <v>3889</v>
      </c>
      <c r="E317" s="175">
        <v>1463.98</v>
      </c>
      <c r="G317" s="174">
        <v>3889</v>
      </c>
      <c r="H317" s="173"/>
      <c r="I317" s="174">
        <v>3967</v>
      </c>
      <c r="K317" s="156">
        <f t="shared" si="42"/>
        <v>2.0056569812291078E-2</v>
      </c>
    </row>
    <row r="318" spans="1:11" x14ac:dyDescent="0.2">
      <c r="B318" s="119" t="s">
        <v>76</v>
      </c>
      <c r="C318" s="176">
        <f>SUM(C313:C317)</f>
        <v>9465</v>
      </c>
      <c r="E318" s="177">
        <f>SUM(E313:E317)</f>
        <v>7149.17</v>
      </c>
      <c r="G318" s="176">
        <f>SUM(G313:G317)</f>
        <v>9465</v>
      </c>
      <c r="H318" s="173"/>
      <c r="I318" s="176">
        <f>SUM(I313:I317)</f>
        <v>11754</v>
      </c>
      <c r="K318" s="247">
        <f>+(I318-G318)/G318</f>
        <v>0.24183835182250396</v>
      </c>
    </row>
    <row r="319" spans="1:11" x14ac:dyDescent="0.2">
      <c r="C319" s="173"/>
      <c r="G319" s="173"/>
      <c r="H319" s="173"/>
      <c r="I319" s="173"/>
    </row>
    <row r="320" spans="1:11" x14ac:dyDescent="0.2">
      <c r="B320" s="6" t="s">
        <v>33</v>
      </c>
      <c r="C320" s="174">
        <f>+C318+C311+C306</f>
        <v>43755</v>
      </c>
      <c r="E320" s="175">
        <f>+E318+E311+E306</f>
        <v>40145.379999999997</v>
      </c>
      <c r="G320" s="174">
        <f>+G318+G311+G306</f>
        <v>44275</v>
      </c>
      <c r="H320" s="173"/>
      <c r="I320" s="174">
        <f>+I318+I311+I306</f>
        <v>49894.525999999998</v>
      </c>
      <c r="K320" s="248">
        <f t="shared" ref="K320" si="43">+(I320-G320)/G320</f>
        <v>0.12692322981366455</v>
      </c>
    </row>
    <row r="321" spans="1:11" x14ac:dyDescent="0.2">
      <c r="C321" s="173"/>
      <c r="G321" s="173"/>
      <c r="H321" s="173"/>
      <c r="I321" s="173"/>
    </row>
    <row r="322" spans="1:11" ht="12.75" thickBot="1" x14ac:dyDescent="0.25">
      <c r="B322" s="6" t="s">
        <v>52</v>
      </c>
      <c r="C322" s="194">
        <f>+C300-C320</f>
        <v>-43755</v>
      </c>
      <c r="E322" s="197">
        <f>+E300-E320</f>
        <v>-40145.379999999997</v>
      </c>
      <c r="G322" s="194">
        <f>+G300-G320</f>
        <v>-44275</v>
      </c>
      <c r="H322" s="173"/>
      <c r="I322" s="194">
        <f>+I300-I320</f>
        <v>-49894.525999999998</v>
      </c>
      <c r="K322" s="249">
        <f t="shared" ref="K322" si="44">+(I322-G322)/G322</f>
        <v>0.12692322981366455</v>
      </c>
    </row>
    <row r="323" spans="1:11" ht="12.75" thickTop="1" x14ac:dyDescent="0.2"/>
    <row r="324" spans="1:11" ht="12.75" x14ac:dyDescent="0.2">
      <c r="A324" s="326" t="s">
        <v>336</v>
      </c>
      <c r="B324" s="326"/>
      <c r="C324" s="326"/>
      <c r="D324" s="326"/>
      <c r="E324" s="326"/>
      <c r="F324" s="326"/>
      <c r="G324" s="326"/>
      <c r="H324" s="326"/>
      <c r="I324" s="326"/>
      <c r="J324" s="326"/>
      <c r="K324" s="326"/>
    </row>
    <row r="325" spans="1:11" x14ac:dyDescent="0.2">
      <c r="A325" s="152"/>
      <c r="B325" s="152"/>
      <c r="C325" s="152"/>
      <c r="D325" s="152"/>
      <c r="E325" s="152"/>
      <c r="F325" s="152"/>
      <c r="G325" s="152"/>
      <c r="H325" s="152"/>
      <c r="I325" s="152"/>
    </row>
    <row r="326" spans="1:11" x14ac:dyDescent="0.2">
      <c r="B326" s="196"/>
      <c r="C326" s="48" t="str">
        <f>+C4</f>
        <v>APPROVED</v>
      </c>
      <c r="D326" s="48"/>
      <c r="E326" s="48" t="str">
        <f>+E4</f>
        <v xml:space="preserve"> </v>
      </c>
      <c r="F326" s="48"/>
      <c r="G326" s="48" t="str">
        <f>+G4</f>
        <v>APPROVED</v>
      </c>
      <c r="H326" s="48"/>
      <c r="I326" s="48" t="str">
        <f>+I4</f>
        <v>REQUESTED</v>
      </c>
      <c r="K326" s="48" t="str">
        <f>+K4</f>
        <v>PERCENT</v>
      </c>
    </row>
    <row r="327" spans="1:11" x14ac:dyDescent="0.2">
      <c r="B327" s="196"/>
      <c r="C327" s="48" t="str">
        <f>+C5</f>
        <v>BUDGET</v>
      </c>
      <c r="D327" s="48"/>
      <c r="E327" s="48" t="str">
        <f>+E5</f>
        <v>ACTUAL</v>
      </c>
      <c r="F327" s="48"/>
      <c r="G327" s="48" t="str">
        <f>+G5</f>
        <v>BUDGET</v>
      </c>
      <c r="H327" s="48"/>
      <c r="I327" s="48" t="str">
        <f>+I5</f>
        <v>BUDGET</v>
      </c>
      <c r="K327" s="48" t="str">
        <f>+K5</f>
        <v>CHANGE</v>
      </c>
    </row>
    <row r="328" spans="1:11" x14ac:dyDescent="0.2">
      <c r="A328" s="299"/>
      <c r="B328" s="299"/>
      <c r="C328" s="49" t="str">
        <f>+C6</f>
        <v>2010-11</v>
      </c>
      <c r="D328" s="49"/>
      <c r="E328" s="49" t="str">
        <f>+E6</f>
        <v>2010-11</v>
      </c>
      <c r="F328" s="49"/>
      <c r="G328" s="49" t="str">
        <f>+G6</f>
        <v>2011 -12</v>
      </c>
      <c r="H328" s="49"/>
      <c r="I328" s="49" t="str">
        <f>+I6</f>
        <v>2012 -13</v>
      </c>
      <c r="J328" s="299"/>
      <c r="K328" s="49" t="str">
        <f>+K6</f>
        <v>FY12/FY13</v>
      </c>
    </row>
    <row r="329" spans="1:11" x14ac:dyDescent="0.2">
      <c r="A329" s="6" t="s">
        <v>19</v>
      </c>
      <c r="C329" s="48"/>
      <c r="D329" s="48"/>
      <c r="E329" s="48"/>
      <c r="F329" s="48"/>
      <c r="G329" s="48"/>
      <c r="H329" s="48"/>
      <c r="I329" s="48"/>
    </row>
    <row r="330" spans="1:11" x14ac:dyDescent="0.2">
      <c r="C330" s="16">
        <v>0</v>
      </c>
      <c r="E330" s="16">
        <v>21510</v>
      </c>
      <c r="G330" s="16">
        <v>0</v>
      </c>
      <c r="I330" s="173">
        <v>21600</v>
      </c>
      <c r="K330" s="156">
        <v>1</v>
      </c>
    </row>
    <row r="331" spans="1:11" x14ac:dyDescent="0.2">
      <c r="B331" s="119" t="s">
        <v>20</v>
      </c>
      <c r="C331" s="198">
        <f>C330</f>
        <v>0</v>
      </c>
      <c r="D331" s="121"/>
      <c r="E331" s="198">
        <f>E330</f>
        <v>21510</v>
      </c>
      <c r="F331" s="121"/>
      <c r="G331" s="176">
        <f>G330</f>
        <v>0</v>
      </c>
      <c r="H331" s="173"/>
      <c r="I331" s="176">
        <f>I330</f>
        <v>21600</v>
      </c>
      <c r="K331" s="247">
        <f>K330</f>
        <v>1</v>
      </c>
    </row>
    <row r="332" spans="1:11" x14ac:dyDescent="0.2">
      <c r="B332" s="119"/>
      <c r="C332" s="121"/>
      <c r="D332" s="121"/>
      <c r="E332" s="121"/>
      <c r="F332" s="121"/>
      <c r="G332" s="173"/>
      <c r="H332" s="173"/>
      <c r="I332" s="173"/>
    </row>
    <row r="333" spans="1:11" x14ac:dyDescent="0.2">
      <c r="A333" s="6" t="s">
        <v>37</v>
      </c>
      <c r="C333" s="121"/>
      <c r="D333" s="121"/>
      <c r="E333" s="121"/>
      <c r="F333" s="121"/>
      <c r="G333" s="173"/>
      <c r="H333" s="173"/>
      <c r="I333" s="173"/>
    </row>
    <row r="334" spans="1:11" x14ac:dyDescent="0.2">
      <c r="B334" s="6" t="s">
        <v>215</v>
      </c>
      <c r="C334" s="173">
        <f>27646+5200</f>
        <v>32846</v>
      </c>
      <c r="D334" s="121"/>
      <c r="E334" s="121">
        <v>27893.279999999999</v>
      </c>
      <c r="F334" s="121"/>
      <c r="G334" s="173">
        <v>34118</v>
      </c>
      <c r="H334" s="173"/>
      <c r="I334" s="173">
        <v>37260</v>
      </c>
      <c r="K334" s="156">
        <f t="shared" ref="K334" si="45">+(I334-G334)/G334</f>
        <v>9.20921507708541E-2</v>
      </c>
    </row>
    <row r="335" spans="1:11" x14ac:dyDescent="0.2">
      <c r="B335" s="119" t="s">
        <v>23</v>
      </c>
      <c r="C335" s="176">
        <f>SUM(C334:C334)</f>
        <v>32846</v>
      </c>
      <c r="D335" s="121"/>
      <c r="E335" s="198">
        <f>SUM(E334:E334)</f>
        <v>27893.279999999999</v>
      </c>
      <c r="F335" s="121"/>
      <c r="G335" s="176">
        <f>SUM(G334:G334)</f>
        <v>34118</v>
      </c>
      <c r="H335" s="173"/>
      <c r="I335" s="176">
        <f>SUM(I334:I334)</f>
        <v>37260</v>
      </c>
      <c r="K335" s="247">
        <f>+(I335-G335)/G335</f>
        <v>9.20921507708541E-2</v>
      </c>
    </row>
    <row r="336" spans="1:11" x14ac:dyDescent="0.2">
      <c r="C336" s="121"/>
      <c r="D336" s="121"/>
      <c r="E336" s="121"/>
      <c r="F336" s="121"/>
      <c r="G336" s="173"/>
      <c r="H336" s="173"/>
      <c r="I336" s="173"/>
    </row>
    <row r="337" spans="1:11" x14ac:dyDescent="0.2">
      <c r="A337" s="6" t="s">
        <v>24</v>
      </c>
      <c r="C337" s="121"/>
      <c r="D337" s="121"/>
      <c r="E337" s="121"/>
      <c r="F337" s="121"/>
      <c r="G337" s="173"/>
      <c r="H337" s="173"/>
      <c r="I337" s="173"/>
    </row>
    <row r="338" spans="1:11" x14ac:dyDescent="0.2">
      <c r="B338" s="6" t="s">
        <v>175</v>
      </c>
      <c r="C338" s="206">
        <f>200+200</f>
        <v>400</v>
      </c>
      <c r="D338" s="209"/>
      <c r="E338" s="210">
        <v>229.97</v>
      </c>
      <c r="F338" s="209"/>
      <c r="G338" s="206">
        <v>1024</v>
      </c>
      <c r="H338" s="208"/>
      <c r="I338" s="207">
        <f>+I334*0.03</f>
        <v>1117.8</v>
      </c>
      <c r="K338" s="156">
        <f t="shared" ref="K338" si="46">+(I338-G338)/G338</f>
        <v>9.1601562499999956E-2</v>
      </c>
    </row>
    <row r="339" spans="1:11" x14ac:dyDescent="0.2">
      <c r="B339" s="119" t="s">
        <v>38</v>
      </c>
      <c r="C339" s="211">
        <f>SUM(C338)</f>
        <v>400</v>
      </c>
      <c r="D339" s="209"/>
      <c r="E339" s="212">
        <f>SUM(E338)</f>
        <v>229.97</v>
      </c>
      <c r="F339" s="209"/>
      <c r="G339" s="211">
        <f>SUM(G338)</f>
        <v>1024</v>
      </c>
      <c r="H339" s="208"/>
      <c r="I339" s="211">
        <f>SUM(I338)</f>
        <v>1117.8</v>
      </c>
      <c r="K339" s="247">
        <f>+(I339-G339)/G339</f>
        <v>9.1601562499999956E-2</v>
      </c>
    </row>
    <row r="340" spans="1:11" x14ac:dyDescent="0.2">
      <c r="C340" s="121"/>
      <c r="D340" s="121"/>
      <c r="E340" s="121"/>
      <c r="F340" s="121"/>
      <c r="G340" s="173"/>
      <c r="H340" s="173"/>
      <c r="I340" s="173"/>
    </row>
    <row r="341" spans="1:11" x14ac:dyDescent="0.2">
      <c r="A341" s="6" t="s">
        <v>27</v>
      </c>
      <c r="C341" s="121"/>
      <c r="D341" s="121"/>
      <c r="E341" s="121"/>
      <c r="F341" s="121"/>
      <c r="G341" s="173"/>
      <c r="H341" s="173"/>
      <c r="I341" s="173"/>
    </row>
    <row r="342" spans="1:11" x14ac:dyDescent="0.2">
      <c r="B342" s="179" t="s">
        <v>320</v>
      </c>
      <c r="C342" s="173">
        <f>500+500</f>
        <v>1000</v>
      </c>
      <c r="D342" s="173"/>
      <c r="E342" s="121">
        <v>5088.25</v>
      </c>
      <c r="F342" s="173"/>
      <c r="G342" s="173">
        <v>1000</v>
      </c>
      <c r="H342" s="173"/>
      <c r="I342" s="173">
        <v>1020</v>
      </c>
      <c r="K342" s="156">
        <f t="shared" ref="K342:K349" si="47">+(I342-G342)/G342</f>
        <v>0.02</v>
      </c>
    </row>
    <row r="343" spans="1:11" x14ac:dyDescent="0.2">
      <c r="B343" s="6" t="s">
        <v>321</v>
      </c>
      <c r="C343" s="173">
        <f>300+2880</f>
        <v>3180</v>
      </c>
      <c r="D343" s="173"/>
      <c r="E343" s="121">
        <v>2096.44</v>
      </c>
      <c r="F343" s="173"/>
      <c r="G343" s="173">
        <v>3180</v>
      </c>
      <c r="H343" s="173"/>
      <c r="I343" s="173">
        <v>3180</v>
      </c>
      <c r="K343" s="156">
        <f t="shared" si="47"/>
        <v>0</v>
      </c>
    </row>
    <row r="344" spans="1:11" x14ac:dyDescent="0.2">
      <c r="B344" s="179" t="s">
        <v>388</v>
      </c>
      <c r="C344" s="173">
        <v>200</v>
      </c>
      <c r="D344" s="173"/>
      <c r="E344" s="121">
        <v>3205.49</v>
      </c>
      <c r="F344" s="173"/>
      <c r="G344" s="173">
        <v>200</v>
      </c>
      <c r="H344" s="173"/>
      <c r="I344" s="173">
        <v>204</v>
      </c>
      <c r="K344" s="156">
        <f t="shared" si="47"/>
        <v>0.02</v>
      </c>
    </row>
    <row r="345" spans="1:11" x14ac:dyDescent="0.2">
      <c r="B345" s="179" t="s">
        <v>390</v>
      </c>
      <c r="C345" s="173">
        <v>500</v>
      </c>
      <c r="D345" s="173"/>
      <c r="E345" s="121">
        <v>1443.8</v>
      </c>
      <c r="F345" s="173"/>
      <c r="G345" s="173">
        <v>500</v>
      </c>
      <c r="H345" s="173"/>
      <c r="I345" s="173">
        <v>1500</v>
      </c>
      <c r="K345" s="156">
        <f t="shared" si="47"/>
        <v>2</v>
      </c>
    </row>
    <row r="346" spans="1:11" x14ac:dyDescent="0.2">
      <c r="B346" s="179" t="s">
        <v>387</v>
      </c>
      <c r="C346" s="173">
        <v>11700</v>
      </c>
      <c r="D346" s="173"/>
      <c r="E346" s="121">
        <v>42404.72</v>
      </c>
      <c r="F346" s="173"/>
      <c r="G346" s="173">
        <f>16700-1093</f>
        <v>15607</v>
      </c>
      <c r="H346" s="173"/>
      <c r="I346" s="173">
        <v>24919</v>
      </c>
      <c r="K346" s="156">
        <f t="shared" si="47"/>
        <v>0.59665534695969757</v>
      </c>
    </row>
    <row r="347" spans="1:11" x14ac:dyDescent="0.2">
      <c r="B347" s="179" t="s">
        <v>354</v>
      </c>
      <c r="C347" s="173">
        <v>13000</v>
      </c>
      <c r="D347" s="173"/>
      <c r="E347" s="121">
        <v>7880</v>
      </c>
      <c r="F347" s="173"/>
      <c r="G347" s="173">
        <v>13000</v>
      </c>
      <c r="H347" s="173"/>
      <c r="I347" s="173">
        <v>15000</v>
      </c>
      <c r="K347" s="156">
        <f t="shared" si="47"/>
        <v>0.15384615384615385</v>
      </c>
    </row>
    <row r="348" spans="1:11" x14ac:dyDescent="0.2">
      <c r="B348" s="179" t="s">
        <v>183</v>
      </c>
      <c r="C348" s="173">
        <f>3900+500</f>
        <v>4400</v>
      </c>
      <c r="D348" s="173"/>
      <c r="E348" s="121">
        <v>3880.35</v>
      </c>
      <c r="F348" s="173"/>
      <c r="G348" s="173">
        <v>4400</v>
      </c>
      <c r="H348" s="173"/>
      <c r="I348" s="173">
        <v>4488</v>
      </c>
      <c r="K348" s="156">
        <f t="shared" si="47"/>
        <v>0.02</v>
      </c>
    </row>
    <row r="349" spans="1:11" x14ac:dyDescent="0.2">
      <c r="B349" s="179" t="s">
        <v>389</v>
      </c>
      <c r="C349" s="173">
        <v>59987</v>
      </c>
      <c r="D349" s="173"/>
      <c r="E349" s="121">
        <v>39515.480000000003</v>
      </c>
      <c r="F349" s="173"/>
      <c r="G349" s="173">
        <v>63371</v>
      </c>
      <c r="H349" s="173"/>
      <c r="I349" s="173">
        <v>74638</v>
      </c>
      <c r="K349" s="156">
        <f t="shared" si="47"/>
        <v>0.17779425920373673</v>
      </c>
    </row>
    <row r="350" spans="1:11" x14ac:dyDescent="0.2">
      <c r="B350" s="6" t="s">
        <v>44</v>
      </c>
      <c r="C350" s="208">
        <v>0</v>
      </c>
      <c r="D350" s="121"/>
      <c r="E350" s="121">
        <v>0</v>
      </c>
      <c r="F350" s="121"/>
      <c r="G350" s="213">
        <v>0</v>
      </c>
      <c r="H350" s="208"/>
      <c r="I350" s="213">
        <v>0</v>
      </c>
      <c r="K350" s="156">
        <v>0</v>
      </c>
    </row>
    <row r="351" spans="1:11" x14ac:dyDescent="0.2">
      <c r="B351" s="119" t="s">
        <v>32</v>
      </c>
      <c r="C351" s="176">
        <f>SUM(C342:C350)</f>
        <v>93967</v>
      </c>
      <c r="E351" s="177">
        <f>SUM(E342:E350)</f>
        <v>105514.53</v>
      </c>
      <c r="G351" s="176">
        <f>SUM(G342:G350)</f>
        <v>101258</v>
      </c>
      <c r="H351" s="173"/>
      <c r="I351" s="176">
        <f>SUM(I342:I350)</f>
        <v>124949</v>
      </c>
      <c r="K351" s="247">
        <f>+(I351-G351)/G351</f>
        <v>0.23396669892749214</v>
      </c>
    </row>
    <row r="352" spans="1:11" x14ac:dyDescent="0.2">
      <c r="C352" s="121"/>
      <c r="D352" s="121"/>
      <c r="E352" s="121"/>
      <c r="F352" s="121"/>
      <c r="G352" s="173"/>
      <c r="H352" s="173"/>
      <c r="I352" s="173"/>
    </row>
    <row r="353" spans="1:11" x14ac:dyDescent="0.2">
      <c r="B353" s="6" t="s">
        <v>33</v>
      </c>
      <c r="C353" s="174">
        <f>SUM(C335+C339+C351)</f>
        <v>127213</v>
      </c>
      <c r="D353" s="121"/>
      <c r="E353" s="193">
        <f>SUM(E335+E339+E351)</f>
        <v>133637.78</v>
      </c>
      <c r="F353" s="121"/>
      <c r="G353" s="174">
        <f>SUM(G335+G339+G351)</f>
        <v>136400</v>
      </c>
      <c r="H353" s="173"/>
      <c r="I353" s="193">
        <f>SUM(I335+I339+I351)</f>
        <v>163326.79999999999</v>
      </c>
      <c r="K353" s="248">
        <f t="shared" ref="K353" si="48">+(I353-G353)/G353</f>
        <v>0.19741055718475065</v>
      </c>
    </row>
    <row r="354" spans="1:11" x14ac:dyDescent="0.2">
      <c r="C354" s="121"/>
      <c r="D354" s="121"/>
      <c r="E354" s="121"/>
      <c r="F354" s="121"/>
      <c r="G354" s="173"/>
      <c r="H354" s="173"/>
      <c r="I354" s="173"/>
    </row>
    <row r="355" spans="1:11" ht="12.75" thickBot="1" x14ac:dyDescent="0.25">
      <c r="B355" s="6" t="s">
        <v>46</v>
      </c>
      <c r="C355" s="194">
        <f>SUM(C330-C353)</f>
        <v>-127213</v>
      </c>
      <c r="D355" s="121"/>
      <c r="E355" s="195">
        <f>SUM(E330-E353)</f>
        <v>-112127.78</v>
      </c>
      <c r="F355" s="121"/>
      <c r="G355" s="194">
        <f>SUM(G330-G353)</f>
        <v>-136400</v>
      </c>
      <c r="H355" s="173"/>
      <c r="I355" s="195">
        <f>SUM(I330-I353)</f>
        <v>-141726.79999999999</v>
      </c>
      <c r="K355" s="249">
        <f t="shared" ref="K355" si="49">+(I355-G355)/G355</f>
        <v>3.905278592375358E-2</v>
      </c>
    </row>
    <row r="356" spans="1:11" ht="12.75" thickTop="1" x14ac:dyDescent="0.2">
      <c r="C356" s="121"/>
      <c r="D356" s="121"/>
      <c r="E356" s="121"/>
      <c r="F356" s="121"/>
      <c r="G356" s="173"/>
      <c r="H356" s="173"/>
      <c r="I356" s="173"/>
    </row>
    <row r="357" spans="1:11" x14ac:dyDescent="0.2">
      <c r="A357" s="172"/>
      <c r="B357" s="214"/>
      <c r="C357" s="6"/>
      <c r="D357" s="6"/>
      <c r="E357" s="6"/>
      <c r="F357" s="6"/>
      <c r="G357" s="215"/>
      <c r="H357" s="215"/>
      <c r="I357" s="215"/>
    </row>
    <row r="358" spans="1:11" x14ac:dyDescent="0.2">
      <c r="A358" s="172"/>
      <c r="G358" s="216"/>
      <c r="H358" s="216"/>
      <c r="I358" s="216"/>
    </row>
    <row r="360" spans="1:11" ht="12.75" x14ac:dyDescent="0.2">
      <c r="A360" s="327" t="s">
        <v>337</v>
      </c>
      <c r="B360" s="327"/>
      <c r="C360" s="327"/>
      <c r="D360" s="327"/>
      <c r="E360" s="327"/>
      <c r="F360" s="327"/>
      <c r="G360" s="327"/>
      <c r="H360" s="327"/>
      <c r="I360" s="327"/>
      <c r="J360" s="327"/>
      <c r="K360" s="327"/>
    </row>
    <row r="361" spans="1:11" x14ac:dyDescent="0.2">
      <c r="A361" s="217"/>
      <c r="B361" s="217"/>
      <c r="C361" s="217"/>
      <c r="D361" s="217"/>
      <c r="E361" s="217"/>
      <c r="F361" s="217"/>
      <c r="G361" s="217"/>
      <c r="H361" s="217"/>
      <c r="I361" s="217"/>
    </row>
    <row r="362" spans="1:11" x14ac:dyDescent="0.2">
      <c r="C362" s="48" t="str">
        <f>+C4</f>
        <v>APPROVED</v>
      </c>
      <c r="D362" s="48"/>
      <c r="E362" s="48" t="str">
        <f>+E4</f>
        <v xml:space="preserve"> </v>
      </c>
      <c r="F362" s="48"/>
      <c r="G362" s="48" t="str">
        <f>+G4</f>
        <v>APPROVED</v>
      </c>
      <c r="H362" s="48"/>
      <c r="I362" s="48" t="str">
        <f>+I4</f>
        <v>REQUESTED</v>
      </c>
      <c r="K362" s="48" t="str">
        <f>+K4</f>
        <v>PERCENT</v>
      </c>
    </row>
    <row r="363" spans="1:11" x14ac:dyDescent="0.2">
      <c r="A363" s="172"/>
      <c r="B363" s="172"/>
      <c r="C363" s="48" t="str">
        <f>+C5</f>
        <v>BUDGET</v>
      </c>
      <c r="D363" s="48"/>
      <c r="E363" s="48" t="str">
        <f>+E5</f>
        <v>ACTUAL</v>
      </c>
      <c r="F363" s="48"/>
      <c r="G363" s="48" t="str">
        <f>+G5</f>
        <v>BUDGET</v>
      </c>
      <c r="H363" s="48"/>
      <c r="I363" s="48" t="str">
        <f>+I5</f>
        <v>BUDGET</v>
      </c>
      <c r="K363" s="48" t="str">
        <f>+K5</f>
        <v>CHANGE</v>
      </c>
    </row>
    <row r="364" spans="1:11" x14ac:dyDescent="0.2">
      <c r="A364" s="298"/>
      <c r="B364" s="298"/>
      <c r="C364" s="49" t="str">
        <f>+C6</f>
        <v>2010-11</v>
      </c>
      <c r="D364" s="49"/>
      <c r="E364" s="49" t="str">
        <f>+E6</f>
        <v>2010-11</v>
      </c>
      <c r="F364" s="49"/>
      <c r="G364" s="49" t="str">
        <f>+G6</f>
        <v>2011 -12</v>
      </c>
      <c r="H364" s="49"/>
      <c r="I364" s="49" t="str">
        <f>+I6</f>
        <v>2012 -13</v>
      </c>
      <c r="J364" s="299"/>
      <c r="K364" s="49" t="str">
        <f>+K6</f>
        <v>FY12/FY13</v>
      </c>
    </row>
    <row r="365" spans="1:11" x14ac:dyDescent="0.2">
      <c r="A365" s="6" t="s">
        <v>19</v>
      </c>
    </row>
    <row r="366" spans="1:11" x14ac:dyDescent="0.2">
      <c r="B366" s="6" t="s">
        <v>77</v>
      </c>
      <c r="C366" s="174">
        <v>186000</v>
      </c>
      <c r="E366" s="175">
        <v>210748.08</v>
      </c>
      <c r="G366" s="174">
        <v>190000</v>
      </c>
      <c r="H366" s="173"/>
      <c r="I366" s="174">
        <v>200000</v>
      </c>
      <c r="K366" s="156">
        <f t="shared" ref="K366" si="50">+(I366-G366)/G366</f>
        <v>5.2631578947368418E-2</v>
      </c>
    </row>
    <row r="367" spans="1:11" x14ac:dyDescent="0.2">
      <c r="B367" s="119" t="s">
        <v>20</v>
      </c>
      <c r="C367" s="176">
        <f>SUM(C366)</f>
        <v>186000</v>
      </c>
      <c r="E367" s="177">
        <f>SUM(E366)</f>
        <v>210748.08</v>
      </c>
      <c r="G367" s="176">
        <f>SUM(G366)</f>
        <v>190000</v>
      </c>
      <c r="H367" s="173"/>
      <c r="I367" s="176">
        <f>SUM(I366)</f>
        <v>200000</v>
      </c>
      <c r="K367" s="247">
        <f>+(I367-G367)/G367</f>
        <v>5.2631578947368418E-2</v>
      </c>
    </row>
    <row r="368" spans="1:11" x14ac:dyDescent="0.2">
      <c r="G368" s="173"/>
      <c r="H368" s="173"/>
      <c r="I368" s="173"/>
    </row>
    <row r="369" spans="1:11" x14ac:dyDescent="0.2">
      <c r="A369" s="6" t="s">
        <v>37</v>
      </c>
      <c r="G369" s="173"/>
      <c r="H369" s="173"/>
      <c r="I369" s="173" t="s">
        <v>104</v>
      </c>
    </row>
    <row r="370" spans="1:11" x14ac:dyDescent="0.2">
      <c r="B370" s="179" t="s">
        <v>111</v>
      </c>
      <c r="C370" s="174">
        <v>28458</v>
      </c>
      <c r="E370" s="175">
        <v>32592.12</v>
      </c>
      <c r="G370" s="174">
        <v>67466</v>
      </c>
      <c r="H370" s="173"/>
      <c r="I370" s="174">
        <v>57459</v>
      </c>
      <c r="K370" s="156">
        <f t="shared" ref="K370" si="51">+(I370-G370)/G370</f>
        <v>-0.148326564491744</v>
      </c>
    </row>
    <row r="371" spans="1:11" x14ac:dyDescent="0.2">
      <c r="B371" s="119" t="s">
        <v>23</v>
      </c>
      <c r="C371" s="176">
        <f>SUM(C370)</f>
        <v>28458</v>
      </c>
      <c r="E371" s="177">
        <f>SUM(E370)</f>
        <v>32592.12</v>
      </c>
      <c r="G371" s="176">
        <f>SUM(G370)</f>
        <v>67466</v>
      </c>
      <c r="H371" s="173"/>
      <c r="I371" s="176">
        <f>SUM(I370)</f>
        <v>57459</v>
      </c>
      <c r="K371" s="247">
        <f>+(I371-G371)/G371</f>
        <v>-0.148326564491744</v>
      </c>
    </row>
    <row r="372" spans="1:11" x14ac:dyDescent="0.2">
      <c r="B372" s="179"/>
      <c r="G372" s="173"/>
      <c r="H372" s="173"/>
      <c r="I372" s="173"/>
    </row>
    <row r="373" spans="1:11" x14ac:dyDescent="0.2">
      <c r="A373" s="6" t="s">
        <v>24</v>
      </c>
      <c r="B373" s="179"/>
      <c r="G373" s="173"/>
      <c r="H373" s="173"/>
      <c r="I373" s="173"/>
    </row>
    <row r="374" spans="1:11" x14ac:dyDescent="0.2">
      <c r="B374" s="6" t="s">
        <v>25</v>
      </c>
      <c r="C374" s="174">
        <v>853</v>
      </c>
      <c r="E374" s="175">
        <v>305.52</v>
      </c>
      <c r="G374" s="174">
        <v>2024</v>
      </c>
      <c r="H374" s="173"/>
      <c r="I374" s="174">
        <f>+I370*0.03</f>
        <v>1723.77</v>
      </c>
      <c r="K374" s="156">
        <f t="shared" ref="K374" si="52">+(I374-G374)/G374</f>
        <v>-0.14833498023715416</v>
      </c>
    </row>
    <row r="375" spans="1:11" x14ac:dyDescent="0.2">
      <c r="B375" s="119" t="s">
        <v>38</v>
      </c>
      <c r="C375" s="176">
        <f>SUM(C374)</f>
        <v>853</v>
      </c>
      <c r="E375" s="177">
        <f>SUM(E374)</f>
        <v>305.52</v>
      </c>
      <c r="G375" s="176">
        <f>SUM(G374)</f>
        <v>2024</v>
      </c>
      <c r="H375" s="173"/>
      <c r="I375" s="176">
        <f>SUM(I374)</f>
        <v>1723.77</v>
      </c>
      <c r="K375" s="247">
        <f>+(I375-G375)/G375</f>
        <v>-0.14833498023715416</v>
      </c>
    </row>
    <row r="376" spans="1:11" x14ac:dyDescent="0.2">
      <c r="G376" s="173"/>
      <c r="H376" s="173"/>
      <c r="I376" s="173"/>
    </row>
    <row r="377" spans="1:11" x14ac:dyDescent="0.2">
      <c r="A377" s="6" t="s">
        <v>27</v>
      </c>
      <c r="G377" s="173"/>
      <c r="H377" s="173"/>
      <c r="I377" s="173"/>
    </row>
    <row r="378" spans="1:11" x14ac:dyDescent="0.2">
      <c r="B378" s="6" t="s">
        <v>90</v>
      </c>
      <c r="C378" s="174">
        <v>249772</v>
      </c>
      <c r="E378" s="175">
        <v>337452.03</v>
      </c>
      <c r="G378" s="174">
        <v>254767</v>
      </c>
      <c r="H378" s="173"/>
      <c r="I378" s="174">
        <v>259862</v>
      </c>
      <c r="K378" s="156">
        <f t="shared" ref="K378" si="53">+(I378-G378)/G378</f>
        <v>1.9998665447251804E-2</v>
      </c>
    </row>
    <row r="379" spans="1:11" x14ac:dyDescent="0.2">
      <c r="B379" s="119" t="s">
        <v>76</v>
      </c>
      <c r="C379" s="176">
        <f>SUM(C378)</f>
        <v>249772</v>
      </c>
      <c r="E379" s="177">
        <f>SUM(E378)</f>
        <v>337452.03</v>
      </c>
      <c r="G379" s="176">
        <f>SUM(G378)</f>
        <v>254767</v>
      </c>
      <c r="H379" s="173"/>
      <c r="I379" s="176">
        <f>SUM(I378)</f>
        <v>259862</v>
      </c>
      <c r="K379" s="247">
        <f>+(I379-G379)/G379</f>
        <v>1.9998665447251804E-2</v>
      </c>
    </row>
    <row r="380" spans="1:11" x14ac:dyDescent="0.2">
      <c r="G380" s="173"/>
      <c r="H380" s="173"/>
      <c r="I380" s="173"/>
    </row>
    <row r="381" spans="1:11" x14ac:dyDescent="0.2">
      <c r="B381" s="6" t="s">
        <v>33</v>
      </c>
      <c r="C381" s="174">
        <f>+C379+C375+C371</f>
        <v>279083</v>
      </c>
      <c r="E381" s="175">
        <f>+E379+E375+E371</f>
        <v>370349.67000000004</v>
      </c>
      <c r="G381" s="174">
        <f>+G379+G375+G371</f>
        <v>324257</v>
      </c>
      <c r="H381" s="173"/>
      <c r="I381" s="174">
        <f>+I379+I375+I371</f>
        <v>319044.77</v>
      </c>
      <c r="K381" s="248">
        <f t="shared" ref="K381" si="54">+(I381-G381)/G381</f>
        <v>-1.6074379273230743E-2</v>
      </c>
    </row>
    <row r="382" spans="1:11" x14ac:dyDescent="0.2">
      <c r="G382" s="173"/>
      <c r="H382" s="173"/>
      <c r="I382" s="173"/>
    </row>
    <row r="383" spans="1:11" ht="12.75" thickBot="1" x14ac:dyDescent="0.25">
      <c r="B383" s="6" t="s">
        <v>52</v>
      </c>
      <c r="C383" s="194">
        <f>C367-C381</f>
        <v>-93083</v>
      </c>
      <c r="E383" s="197">
        <f>E367-E381</f>
        <v>-159601.59000000005</v>
      </c>
      <c r="G383" s="194">
        <f>G367-G381</f>
        <v>-134257</v>
      </c>
      <c r="H383" s="173"/>
      <c r="I383" s="197">
        <f>I367-I381</f>
        <v>-119044.77000000002</v>
      </c>
      <c r="K383" s="249">
        <f t="shared" ref="K383" si="55">+(I383-G383)/G383</f>
        <v>-0.11330679219705476</v>
      </c>
    </row>
    <row r="384" spans="1:11" ht="12.75" thickTop="1" x14ac:dyDescent="0.2">
      <c r="A384" s="218"/>
      <c r="B384" s="218"/>
      <c r="C384" s="218"/>
      <c r="D384" s="218"/>
      <c r="E384" s="218"/>
      <c r="F384" s="218"/>
      <c r="G384" s="219"/>
      <c r="H384" s="219"/>
      <c r="I384" s="220"/>
    </row>
    <row r="385" spans="1:9" x14ac:dyDescent="0.2">
      <c r="A385" s="218"/>
      <c r="B385" s="218" t="s">
        <v>146</v>
      </c>
      <c r="C385" s="218"/>
      <c r="D385" s="218"/>
      <c r="E385" s="218"/>
      <c r="F385" s="218"/>
      <c r="G385" s="219"/>
      <c r="H385" s="219"/>
      <c r="I385" s="219"/>
    </row>
    <row r="386" spans="1:9" x14ac:dyDescent="0.2">
      <c r="A386" s="218"/>
      <c r="B386" s="218"/>
      <c r="C386" s="218"/>
      <c r="D386" s="218"/>
      <c r="E386" s="218"/>
      <c r="F386" s="218"/>
      <c r="G386" s="219"/>
      <c r="H386" s="219"/>
      <c r="I386" s="219"/>
    </row>
    <row r="387" spans="1:9" x14ac:dyDescent="0.2">
      <c r="A387" s="6" t="s">
        <v>19</v>
      </c>
      <c r="B387" s="6" t="s">
        <v>130</v>
      </c>
      <c r="C387" s="219">
        <v>71000</v>
      </c>
      <c r="D387" s="219"/>
      <c r="E387" s="219"/>
      <c r="F387" s="219"/>
      <c r="G387" s="219"/>
      <c r="H387" s="219"/>
      <c r="I387" s="219"/>
    </row>
    <row r="388" spans="1:9" x14ac:dyDescent="0.2">
      <c r="B388" s="119" t="s">
        <v>137</v>
      </c>
      <c r="C388" s="219">
        <v>9000</v>
      </c>
      <c r="D388" s="219"/>
      <c r="E388" s="219"/>
      <c r="F388" s="219"/>
      <c r="G388" s="219"/>
      <c r="H388" s="219"/>
      <c r="I388" s="219"/>
    </row>
    <row r="389" spans="1:9" x14ac:dyDescent="0.2">
      <c r="B389" s="119" t="s">
        <v>136</v>
      </c>
      <c r="C389" s="219">
        <v>1000</v>
      </c>
      <c r="D389" s="219"/>
      <c r="E389" s="219"/>
      <c r="F389" s="219"/>
      <c r="G389" s="219"/>
      <c r="H389" s="219"/>
      <c r="I389" s="219"/>
    </row>
    <row r="390" spans="1:9" x14ac:dyDescent="0.2">
      <c r="A390" s="218"/>
      <c r="B390" s="218" t="s">
        <v>131</v>
      </c>
      <c r="C390" s="218"/>
      <c r="D390" s="218"/>
      <c r="E390" s="218"/>
      <c r="F390" s="218"/>
      <c r="G390" s="218"/>
      <c r="H390" s="218"/>
      <c r="I390" s="218"/>
    </row>
    <row r="391" spans="1:9" x14ac:dyDescent="0.2">
      <c r="A391" s="218"/>
      <c r="B391" s="218" t="s">
        <v>132</v>
      </c>
      <c r="C391" s="219">
        <v>71000</v>
      </c>
      <c r="D391" s="219"/>
      <c r="E391" s="219"/>
      <c r="F391" s="219"/>
      <c r="G391" s="219"/>
      <c r="H391" s="219"/>
      <c r="I391" s="218"/>
    </row>
    <row r="392" spans="1:9" x14ac:dyDescent="0.2">
      <c r="A392" s="218"/>
      <c r="B392" s="221" t="s">
        <v>133</v>
      </c>
      <c r="C392" s="219">
        <v>9000</v>
      </c>
      <c r="D392" s="219"/>
      <c r="E392" s="219"/>
      <c r="F392" s="219"/>
      <c r="G392" s="218"/>
      <c r="H392" s="218"/>
      <c r="I392" s="218"/>
    </row>
    <row r="393" spans="1:9" x14ac:dyDescent="0.2">
      <c r="A393" s="218"/>
      <c r="B393" s="221" t="s">
        <v>134</v>
      </c>
      <c r="C393" s="219">
        <v>5000</v>
      </c>
      <c r="D393" s="219"/>
      <c r="E393" s="219"/>
      <c r="F393" s="219"/>
      <c r="G393" s="218"/>
      <c r="H393" s="218"/>
      <c r="I393" s="218"/>
    </row>
    <row r="394" spans="1:9" x14ac:dyDescent="0.2">
      <c r="A394" s="218"/>
      <c r="B394" s="221" t="s">
        <v>135</v>
      </c>
      <c r="C394" s="219">
        <v>20000</v>
      </c>
      <c r="D394" s="219"/>
      <c r="E394" s="219"/>
      <c r="F394" s="219"/>
      <c r="G394" s="218"/>
      <c r="H394" s="218"/>
      <c r="I394" s="218"/>
    </row>
    <row r="395" spans="1:9" x14ac:dyDescent="0.2">
      <c r="B395" s="6" t="s">
        <v>128</v>
      </c>
      <c r="C395" s="174">
        <v>92509</v>
      </c>
      <c r="D395" s="173"/>
      <c r="E395" s="173"/>
      <c r="F395" s="173"/>
      <c r="G395" s="218"/>
      <c r="H395" s="218"/>
      <c r="I395" s="218"/>
    </row>
    <row r="396" spans="1:9" x14ac:dyDescent="0.2">
      <c r="C396" s="173">
        <f>SUM(C387:C395)</f>
        <v>278509</v>
      </c>
      <c r="D396" s="173"/>
      <c r="E396" s="173"/>
      <c r="F396" s="173"/>
      <c r="G396" s="218"/>
      <c r="H396" s="218"/>
      <c r="I396" s="218"/>
    </row>
    <row r="397" spans="1:9" x14ac:dyDescent="0.2">
      <c r="A397" s="6" t="s">
        <v>37</v>
      </c>
      <c r="G397" s="218"/>
      <c r="H397" s="218"/>
      <c r="I397" s="218"/>
    </row>
    <row r="398" spans="1:9" x14ac:dyDescent="0.2">
      <c r="B398" s="6" t="s">
        <v>129</v>
      </c>
      <c r="C398" s="16">
        <v>9300</v>
      </c>
      <c r="G398" s="218"/>
      <c r="H398" s="218"/>
      <c r="I398" s="218"/>
    </row>
    <row r="399" spans="1:9" x14ac:dyDescent="0.2">
      <c r="C399" s="175">
        <v>18600</v>
      </c>
      <c r="G399" s="218"/>
      <c r="H399" s="218"/>
      <c r="I399" s="218"/>
    </row>
    <row r="400" spans="1:9" x14ac:dyDescent="0.2">
      <c r="C400" s="16">
        <f>SUM(C398:C399)</f>
        <v>27900</v>
      </c>
      <c r="G400" s="218"/>
      <c r="H400" s="218"/>
      <c r="I400" s="218"/>
    </row>
    <row r="401" spans="1:9" x14ac:dyDescent="0.2">
      <c r="B401" s="119"/>
      <c r="G401" s="218"/>
      <c r="H401" s="218"/>
      <c r="I401" s="218"/>
    </row>
    <row r="402" spans="1:9" x14ac:dyDescent="0.2">
      <c r="A402" s="6" t="s">
        <v>24</v>
      </c>
      <c r="B402" s="6" t="s">
        <v>83</v>
      </c>
      <c r="C402" s="16">
        <v>837</v>
      </c>
      <c r="G402" s="218"/>
      <c r="H402" s="218"/>
      <c r="I402" s="218"/>
    </row>
    <row r="403" spans="1:9" x14ac:dyDescent="0.2">
      <c r="B403" s="218"/>
      <c r="G403" s="218"/>
      <c r="H403" s="218"/>
      <c r="I403" s="218"/>
    </row>
    <row r="404" spans="1:9" x14ac:dyDescent="0.2">
      <c r="A404" s="6" t="s">
        <v>27</v>
      </c>
      <c r="G404" s="218"/>
      <c r="H404" s="218"/>
      <c r="I404" s="218"/>
    </row>
    <row r="405" spans="1:9" x14ac:dyDescent="0.2">
      <c r="A405" s="172"/>
      <c r="B405" s="6" t="s">
        <v>138</v>
      </c>
      <c r="C405" s="16">
        <v>45000</v>
      </c>
      <c r="G405" s="218"/>
      <c r="H405" s="218"/>
      <c r="I405" s="218"/>
    </row>
    <row r="406" spans="1:9" x14ac:dyDescent="0.2">
      <c r="A406" s="172"/>
      <c r="B406" s="119" t="s">
        <v>147</v>
      </c>
      <c r="C406" s="16">
        <v>8000</v>
      </c>
      <c r="G406" s="218"/>
      <c r="H406" s="218"/>
      <c r="I406" s="218"/>
    </row>
    <row r="407" spans="1:9" x14ac:dyDescent="0.2">
      <c r="A407" s="172"/>
      <c r="B407" s="119" t="s">
        <v>148</v>
      </c>
      <c r="C407" s="16">
        <v>2000</v>
      </c>
      <c r="G407" s="218"/>
      <c r="H407" s="218"/>
      <c r="I407" s="218"/>
    </row>
    <row r="408" spans="1:9" x14ac:dyDescent="0.2">
      <c r="A408" s="172"/>
      <c r="B408" s="119" t="s">
        <v>149</v>
      </c>
      <c r="C408" s="16">
        <v>10000</v>
      </c>
      <c r="G408" s="218"/>
      <c r="H408" s="218"/>
      <c r="I408" s="218"/>
    </row>
    <row r="409" spans="1:9" x14ac:dyDescent="0.2">
      <c r="A409" s="172"/>
      <c r="B409" s="119" t="s">
        <v>144</v>
      </c>
      <c r="C409" s="16">
        <v>5000</v>
      </c>
      <c r="G409" s="218"/>
      <c r="H409" s="218"/>
      <c r="I409" s="218"/>
    </row>
    <row r="410" spans="1:9" x14ac:dyDescent="0.2">
      <c r="A410" s="172"/>
      <c r="B410" s="119" t="s">
        <v>150</v>
      </c>
      <c r="C410" s="16">
        <v>5000</v>
      </c>
      <c r="G410" s="218"/>
      <c r="H410" s="218"/>
      <c r="I410" s="218"/>
    </row>
    <row r="411" spans="1:9" x14ac:dyDescent="0.2">
      <c r="A411" s="172"/>
      <c r="B411" s="218" t="s">
        <v>151</v>
      </c>
      <c r="C411" s="16">
        <v>8000</v>
      </c>
      <c r="G411" s="218"/>
      <c r="H411" s="218"/>
      <c r="I411" s="218"/>
    </row>
    <row r="412" spans="1:9" x14ac:dyDescent="0.2">
      <c r="A412" s="172"/>
      <c r="B412" s="221" t="s">
        <v>142</v>
      </c>
      <c r="C412" s="16">
        <v>5000</v>
      </c>
      <c r="G412" s="218"/>
      <c r="H412" s="218"/>
      <c r="I412" s="218"/>
    </row>
    <row r="413" spans="1:9" x14ac:dyDescent="0.2">
      <c r="A413" s="172"/>
      <c r="B413" s="218" t="s">
        <v>140</v>
      </c>
      <c r="C413" s="16">
        <v>45000</v>
      </c>
      <c r="G413" s="218"/>
      <c r="H413" s="218"/>
      <c r="I413" s="218"/>
    </row>
    <row r="414" spans="1:9" x14ac:dyDescent="0.2">
      <c r="A414" s="172"/>
      <c r="B414" s="221" t="s">
        <v>147</v>
      </c>
      <c r="C414" s="16">
        <v>8000</v>
      </c>
      <c r="G414" s="218"/>
      <c r="H414" s="218"/>
      <c r="I414" s="218"/>
    </row>
    <row r="415" spans="1:9" x14ac:dyDescent="0.2">
      <c r="A415" s="172"/>
      <c r="B415" s="119" t="s">
        <v>148</v>
      </c>
      <c r="C415" s="16">
        <v>2000</v>
      </c>
      <c r="G415" s="218"/>
      <c r="H415" s="218"/>
      <c r="I415" s="218"/>
    </row>
    <row r="416" spans="1:9" x14ac:dyDescent="0.2">
      <c r="A416" s="172"/>
      <c r="B416" s="221" t="s">
        <v>133</v>
      </c>
      <c r="C416" s="16">
        <v>3000</v>
      </c>
      <c r="G416" s="218"/>
      <c r="H416" s="218"/>
      <c r="I416" s="218"/>
    </row>
    <row r="417" spans="1:9" x14ac:dyDescent="0.2">
      <c r="A417" s="172"/>
      <c r="B417" s="221" t="s">
        <v>134</v>
      </c>
      <c r="C417" s="16">
        <v>5000</v>
      </c>
      <c r="G417" s="218"/>
      <c r="H417" s="218"/>
      <c r="I417" s="218"/>
    </row>
    <row r="418" spans="1:9" x14ac:dyDescent="0.2">
      <c r="A418" s="172"/>
      <c r="B418" s="221" t="s">
        <v>135</v>
      </c>
      <c r="C418" s="16">
        <v>5000</v>
      </c>
      <c r="G418" s="218"/>
      <c r="H418" s="218"/>
      <c r="I418" s="218"/>
    </row>
    <row r="419" spans="1:9" x14ac:dyDescent="0.2">
      <c r="A419" s="172"/>
      <c r="B419" s="221" t="s">
        <v>152</v>
      </c>
      <c r="C419" s="16">
        <v>12000</v>
      </c>
      <c r="G419" s="218"/>
      <c r="H419" s="218"/>
      <c r="I419" s="218"/>
    </row>
    <row r="420" spans="1:9" x14ac:dyDescent="0.2">
      <c r="A420" s="172"/>
      <c r="B420" s="179" t="s">
        <v>153</v>
      </c>
      <c r="C420" s="16">
        <v>22500</v>
      </c>
      <c r="G420" s="218"/>
      <c r="H420" s="218"/>
      <c r="I420" s="218"/>
    </row>
    <row r="421" spans="1:9" x14ac:dyDescent="0.2">
      <c r="A421" s="172"/>
      <c r="B421" s="119" t="s">
        <v>139</v>
      </c>
      <c r="C421" s="16">
        <v>5000</v>
      </c>
      <c r="G421" s="218"/>
      <c r="H421" s="218"/>
      <c r="I421" s="218"/>
    </row>
    <row r="422" spans="1:9" x14ac:dyDescent="0.2">
      <c r="A422" s="172"/>
      <c r="B422" s="119" t="s">
        <v>154</v>
      </c>
      <c r="C422" s="16">
        <v>22500</v>
      </c>
      <c r="G422" s="218"/>
      <c r="H422" s="218"/>
      <c r="I422" s="218"/>
    </row>
    <row r="423" spans="1:9" x14ac:dyDescent="0.2">
      <c r="A423" s="172"/>
      <c r="B423" s="179" t="s">
        <v>141</v>
      </c>
      <c r="C423" s="16">
        <v>10000</v>
      </c>
      <c r="G423" s="218"/>
      <c r="H423" s="218"/>
      <c r="I423" s="218"/>
    </row>
    <row r="424" spans="1:9" x14ac:dyDescent="0.2">
      <c r="A424" s="172"/>
      <c r="B424" s="179" t="s">
        <v>145</v>
      </c>
      <c r="C424" s="16">
        <v>3772</v>
      </c>
      <c r="G424" s="218"/>
      <c r="H424" s="218"/>
      <c r="I424" s="218"/>
    </row>
    <row r="425" spans="1:9" x14ac:dyDescent="0.2">
      <c r="A425" s="172"/>
      <c r="B425" s="179" t="s">
        <v>143</v>
      </c>
      <c r="C425" s="16">
        <v>3000</v>
      </c>
      <c r="G425" s="218"/>
      <c r="H425" s="218"/>
      <c r="I425" s="218"/>
    </row>
    <row r="426" spans="1:9" x14ac:dyDescent="0.2">
      <c r="B426" s="179" t="s">
        <v>155</v>
      </c>
      <c r="C426" s="16">
        <v>15000</v>
      </c>
      <c r="G426" s="218"/>
      <c r="H426" s="218"/>
      <c r="I426" s="218"/>
    </row>
    <row r="427" spans="1:9" x14ac:dyDescent="0.2">
      <c r="B427" s="119" t="s">
        <v>32</v>
      </c>
      <c r="C427" s="177">
        <f>SUM(C405:C426)</f>
        <v>249772</v>
      </c>
      <c r="G427" s="218"/>
      <c r="H427" s="218"/>
      <c r="I427" s="218"/>
    </row>
    <row r="428" spans="1:9" x14ac:dyDescent="0.2">
      <c r="G428" s="218"/>
      <c r="H428" s="218"/>
      <c r="I428" s="218"/>
    </row>
    <row r="429" spans="1:9" x14ac:dyDescent="0.2">
      <c r="B429" s="6" t="s">
        <v>33</v>
      </c>
      <c r="C429" s="175">
        <f>+C427+C402+C400</f>
        <v>278509</v>
      </c>
      <c r="G429" s="218"/>
      <c r="H429" s="218"/>
      <c r="I429" s="218"/>
    </row>
    <row r="430" spans="1:9" x14ac:dyDescent="0.2">
      <c r="G430" s="218"/>
      <c r="H430" s="218"/>
      <c r="I430" s="218"/>
    </row>
    <row r="431" spans="1:9" ht="12.75" thickBot="1" x14ac:dyDescent="0.25">
      <c r="B431" s="6" t="s">
        <v>52</v>
      </c>
      <c r="C431" s="222">
        <f>+C396-C429</f>
        <v>0</v>
      </c>
      <c r="G431" s="218"/>
      <c r="H431" s="218"/>
      <c r="I431" s="218"/>
    </row>
    <row r="432" spans="1:9" ht="12.75" thickTop="1" x14ac:dyDescent="0.2">
      <c r="A432" s="218"/>
      <c r="B432" s="218"/>
      <c r="C432" s="218"/>
      <c r="D432" s="218"/>
      <c r="E432" s="218"/>
      <c r="F432" s="218"/>
      <c r="G432" s="218"/>
      <c r="H432" s="218"/>
      <c r="I432" s="218"/>
    </row>
  </sheetData>
  <mergeCells count="13">
    <mergeCell ref="A1:K1"/>
    <mergeCell ref="A2:K2"/>
    <mergeCell ref="A46:K46"/>
    <mergeCell ref="A83:K83"/>
    <mergeCell ref="A125:K125"/>
    <mergeCell ref="A145:K145"/>
    <mergeCell ref="A179:K179"/>
    <mergeCell ref="A360:K360"/>
    <mergeCell ref="A208:K208"/>
    <mergeCell ref="A228:K228"/>
    <mergeCell ref="A260:K260"/>
    <mergeCell ref="A294:K294"/>
    <mergeCell ref="A324:K324"/>
  </mergeCells>
  <phoneticPr fontId="0" type="noConversion"/>
  <pageMargins left="0" right="0" top="0" bottom="0" header="0" footer="0"/>
  <pageSetup scale="85" fitToHeight="0" orientation="portrait" r:id="rId1"/>
  <headerFooter alignWithMargins="0"/>
  <rowBreaks count="12" manualBreakCount="12">
    <brk id="43" max="16383" man="1"/>
    <brk id="82" max="16383" man="1"/>
    <brk id="124" max="10" man="1"/>
    <brk id="144" max="10" man="1"/>
    <brk id="178" max="10" man="1"/>
    <brk id="207" max="10" man="1"/>
    <brk id="227" max="16383" man="1"/>
    <brk id="259" max="10" man="1"/>
    <brk id="292" max="16383" man="1"/>
    <brk id="323" max="16383" man="1"/>
    <brk id="359" max="16383" man="1"/>
    <brk id="38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8"/>
  <sheetViews>
    <sheetView zoomScale="90" zoomScaleNormal="90" workbookViewId="0">
      <selection activeCell="E9" sqref="E9"/>
    </sheetView>
  </sheetViews>
  <sheetFormatPr defaultRowHeight="12.75" x14ac:dyDescent="0.2"/>
  <cols>
    <col min="1" max="1" width="9" style="2" customWidth="1"/>
    <col min="2" max="2" width="38.28515625" style="2" bestFit="1" customWidth="1"/>
    <col min="3" max="3" width="12.7109375" style="11" bestFit="1" customWidth="1"/>
    <col min="4" max="4" width="2.28515625" style="11" customWidth="1"/>
    <col min="5" max="5" width="13.28515625" style="11" bestFit="1" customWidth="1"/>
    <col min="6" max="6" width="2.28515625" style="11" customWidth="1"/>
    <col min="7" max="7" width="12.7109375" style="11" customWidth="1"/>
    <col min="8" max="8" width="2.28515625" style="11" customWidth="1"/>
    <col min="9" max="9" width="12.7109375" style="26" customWidth="1"/>
    <col min="10" max="10" width="2.28515625" style="26" customWidth="1"/>
    <col min="11" max="11" width="10.140625" style="11" bestFit="1" customWidth="1"/>
    <col min="12" max="12" width="4.42578125" style="2" customWidth="1"/>
    <col min="13" max="13" width="24" style="2" customWidth="1"/>
    <col min="14" max="14" width="21.42578125" style="2" hidden="1" customWidth="1"/>
    <col min="15" max="15" width="10" style="2" bestFit="1" customWidth="1"/>
    <col min="16" max="17" width="8.85546875" style="2" bestFit="1" customWidth="1"/>
    <col min="18" max="18" width="9.5703125" style="2" customWidth="1"/>
    <col min="19" max="19" width="8.85546875" style="2" customWidth="1"/>
    <col min="20" max="20" width="9.5703125" style="2" bestFit="1" customWidth="1"/>
    <col min="21" max="22" width="10.42578125" style="2" customWidth="1"/>
    <col min="23" max="23" width="11.140625" style="2" bestFit="1" customWidth="1"/>
    <col min="24" max="24" width="10" style="2" customWidth="1"/>
  </cols>
  <sheetData>
    <row r="1" spans="1:24" x14ac:dyDescent="0.2">
      <c r="A1" s="329" t="s">
        <v>88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29"/>
    </row>
    <row r="2" spans="1:24" x14ac:dyDescent="0.2">
      <c r="G2" s="52" t="str">
        <f>cover!G6</f>
        <v>APPROVED</v>
      </c>
      <c r="H2" s="52"/>
      <c r="I2" s="136" t="s">
        <v>114</v>
      </c>
      <c r="J2" s="136"/>
      <c r="K2" s="136" t="str">
        <f>cover!K6</f>
        <v>PERCENT</v>
      </c>
      <c r="X2"/>
    </row>
    <row r="3" spans="1:24" x14ac:dyDescent="0.2">
      <c r="C3" s="52" t="str">
        <f>cover!C7</f>
        <v>BUDGET</v>
      </c>
      <c r="D3" s="52"/>
      <c r="E3" s="52" t="str">
        <f>+cover!E7</f>
        <v>ACTUAL</v>
      </c>
      <c r="F3" s="52"/>
      <c r="G3" s="52" t="str">
        <f>cover!G7</f>
        <v>BUDGET</v>
      </c>
      <c r="H3" s="52"/>
      <c r="I3" s="52" t="str">
        <f>cover!I7</f>
        <v>BUDGET</v>
      </c>
      <c r="J3" s="52"/>
      <c r="K3" s="136" t="str">
        <f>cover!K7</f>
        <v>CHANGE</v>
      </c>
      <c r="M3" s="60" t="s">
        <v>87</v>
      </c>
      <c r="N3" s="137" t="s">
        <v>162</v>
      </c>
      <c r="O3" s="61" t="s">
        <v>66</v>
      </c>
      <c r="P3" s="61" t="s">
        <v>67</v>
      </c>
      <c r="Q3" s="62" t="s">
        <v>68</v>
      </c>
      <c r="R3" s="61" t="s">
        <v>92</v>
      </c>
      <c r="S3" s="61" t="s">
        <v>123</v>
      </c>
      <c r="T3" s="61" t="s">
        <v>125</v>
      </c>
      <c r="U3" s="61" t="s">
        <v>127</v>
      </c>
      <c r="V3" s="138" t="s">
        <v>160</v>
      </c>
      <c r="W3" s="61" t="s">
        <v>98</v>
      </c>
      <c r="X3"/>
    </row>
    <row r="4" spans="1:24" s="37" customFormat="1" x14ac:dyDescent="0.2">
      <c r="A4" s="2"/>
      <c r="B4" s="2"/>
      <c r="C4" s="52" t="str">
        <f>cover!C8</f>
        <v>2010-11</v>
      </c>
      <c r="D4" s="52"/>
      <c r="E4" s="52" t="str">
        <f>+cover!E8</f>
        <v>2010-11</v>
      </c>
      <c r="F4" s="52"/>
      <c r="G4" s="52" t="str">
        <f>cover!G8</f>
        <v>2011 -12</v>
      </c>
      <c r="H4" s="52"/>
      <c r="I4" s="52" t="str">
        <f>cover!I8</f>
        <v>2012 -13</v>
      </c>
      <c r="J4" s="52"/>
      <c r="K4" s="136" t="str">
        <f>cover!K8</f>
        <v>FY12/FY13</v>
      </c>
      <c r="L4" s="2"/>
      <c r="M4" s="60" t="s">
        <v>86</v>
      </c>
      <c r="N4" s="137" t="s">
        <v>82</v>
      </c>
      <c r="O4" s="52"/>
      <c r="P4" s="52"/>
      <c r="Q4" s="42"/>
      <c r="R4" s="52" t="s">
        <v>93</v>
      </c>
      <c r="S4" s="52" t="s">
        <v>124</v>
      </c>
      <c r="T4" s="52" t="s">
        <v>126</v>
      </c>
      <c r="U4" s="52" t="s">
        <v>95</v>
      </c>
      <c r="V4" s="136" t="s">
        <v>161</v>
      </c>
      <c r="W4" s="60" t="s">
        <v>99</v>
      </c>
    </row>
    <row r="5" spans="1:24" s="37" customFormat="1" x14ac:dyDescent="0.2">
      <c r="A5" s="297"/>
      <c r="B5" s="297"/>
      <c r="C5" s="300" t="s">
        <v>91</v>
      </c>
      <c r="D5" s="300"/>
      <c r="E5" s="300"/>
      <c r="F5" s="300"/>
      <c r="G5" s="300" t="s">
        <v>91</v>
      </c>
      <c r="H5" s="300"/>
      <c r="I5" s="300" t="s">
        <v>91</v>
      </c>
      <c r="J5" s="300"/>
      <c r="K5" s="319"/>
      <c r="L5" s="2"/>
      <c r="M5" s="2"/>
      <c r="N5" s="2"/>
      <c r="O5" s="11"/>
      <c r="P5" s="11"/>
      <c r="Q5" s="26"/>
      <c r="R5" s="11"/>
      <c r="S5" s="11"/>
      <c r="T5" s="11"/>
      <c r="U5" s="11"/>
      <c r="V5" s="11"/>
      <c r="W5" s="2"/>
    </row>
    <row r="6" spans="1:24" s="37" customFormat="1" x14ac:dyDescent="0.2">
      <c r="A6" s="2" t="s">
        <v>19</v>
      </c>
      <c r="B6" s="2"/>
      <c r="C6" s="2"/>
      <c r="D6" s="2"/>
      <c r="E6" s="2"/>
      <c r="F6" s="2"/>
      <c r="G6" s="2"/>
      <c r="H6" s="2"/>
      <c r="I6" s="26"/>
      <c r="J6" s="26"/>
      <c r="K6" s="11"/>
      <c r="L6" s="2"/>
    </row>
    <row r="7" spans="1:24" x14ac:dyDescent="0.2">
      <c r="B7" s="2" t="s">
        <v>394</v>
      </c>
      <c r="C7" s="43">
        <v>2187155</v>
      </c>
      <c r="D7" s="87"/>
      <c r="E7" s="229">
        <v>2488982.88</v>
      </c>
      <c r="F7" s="87"/>
      <c r="G7" s="43">
        <v>2452275</v>
      </c>
      <c r="H7" s="43"/>
      <c r="I7" s="43">
        <v>2727015</v>
      </c>
      <c r="J7" s="43"/>
      <c r="K7" s="320">
        <f>+(I7-G7)/G7</f>
        <v>0.11203474324861608</v>
      </c>
      <c r="N7" s="139">
        <v>0</v>
      </c>
      <c r="O7" s="43">
        <v>300000</v>
      </c>
      <c r="P7" s="43">
        <v>290000</v>
      </c>
      <c r="Q7" s="43">
        <v>696385</v>
      </c>
      <c r="R7" s="43">
        <v>203000</v>
      </c>
      <c r="S7" s="43">
        <v>37630</v>
      </c>
      <c r="T7" s="43">
        <v>200000</v>
      </c>
      <c r="U7" s="43">
        <v>440000</v>
      </c>
      <c r="V7" s="43">
        <v>165000</v>
      </c>
      <c r="W7" s="43">
        <v>395000</v>
      </c>
      <c r="X7" s="37"/>
    </row>
    <row r="8" spans="1:24" x14ac:dyDescent="0.2">
      <c r="B8" s="2" t="s">
        <v>393</v>
      </c>
      <c r="C8" s="43">
        <v>5000</v>
      </c>
      <c r="D8" s="87"/>
      <c r="E8" s="229">
        <v>7534.28</v>
      </c>
      <c r="F8" s="87"/>
      <c r="G8" s="43">
        <f>SUM(M8:U8)+L8</f>
        <v>5000</v>
      </c>
      <c r="H8" s="43"/>
      <c r="I8" s="43">
        <v>5000</v>
      </c>
      <c r="J8" s="43"/>
      <c r="K8" s="320">
        <f t="shared" ref="K8:K13" si="0">+(I8-G8)/G8</f>
        <v>0</v>
      </c>
      <c r="N8" s="139">
        <v>5000</v>
      </c>
      <c r="O8" s="87"/>
      <c r="P8" s="87"/>
      <c r="Q8" s="87"/>
      <c r="R8" s="87"/>
      <c r="S8" s="87"/>
      <c r="T8" s="87"/>
      <c r="U8" s="87"/>
      <c r="V8" s="87"/>
      <c r="W8" s="87"/>
      <c r="X8" s="37"/>
    </row>
    <row r="9" spans="1:24" x14ac:dyDescent="0.2">
      <c r="B9" s="2" t="s">
        <v>391</v>
      </c>
      <c r="C9" s="43">
        <v>4600</v>
      </c>
      <c r="D9" s="87"/>
      <c r="E9" s="229">
        <v>7509.49</v>
      </c>
      <c r="F9" s="87"/>
      <c r="G9" s="43">
        <v>3240</v>
      </c>
      <c r="H9" s="43"/>
      <c r="I9" s="43">
        <v>3240</v>
      </c>
      <c r="J9" s="43"/>
      <c r="K9" s="320">
        <f t="shared" si="0"/>
        <v>0</v>
      </c>
      <c r="N9" s="140">
        <v>3240</v>
      </c>
      <c r="O9" s="87"/>
      <c r="P9" s="87"/>
      <c r="Q9" s="87"/>
      <c r="R9" s="87"/>
      <c r="S9" s="87"/>
      <c r="T9" s="87"/>
      <c r="U9" s="87"/>
      <c r="V9" s="87"/>
      <c r="W9" s="87"/>
      <c r="X9" s="37"/>
    </row>
    <row r="10" spans="1:24" x14ac:dyDescent="0.2">
      <c r="B10" s="2" t="s">
        <v>395</v>
      </c>
      <c r="C10" s="43">
        <v>5700</v>
      </c>
      <c r="D10" s="87"/>
      <c r="E10" s="229">
        <v>30215</v>
      </c>
      <c r="F10" s="87"/>
      <c r="G10" s="43">
        <v>1000</v>
      </c>
      <c r="H10" s="43"/>
      <c r="I10" s="43">
        <v>15000</v>
      </c>
      <c r="J10" s="43"/>
      <c r="K10" s="320">
        <f t="shared" si="0"/>
        <v>14</v>
      </c>
      <c r="N10" s="139">
        <v>15000</v>
      </c>
      <c r="O10" s="87"/>
      <c r="P10" s="87"/>
      <c r="Q10" s="87"/>
      <c r="R10" s="87"/>
      <c r="S10" s="87"/>
      <c r="T10" s="87"/>
      <c r="U10" s="87"/>
      <c r="V10" s="87"/>
      <c r="W10" s="87"/>
      <c r="X10" s="37"/>
    </row>
    <row r="11" spans="1:24" x14ac:dyDescent="0.2">
      <c r="B11" s="2" t="s">
        <v>163</v>
      </c>
      <c r="C11" s="43">
        <v>0</v>
      </c>
      <c r="D11" s="87"/>
      <c r="E11" s="87"/>
      <c r="F11" s="87"/>
      <c r="G11" s="43">
        <v>13200</v>
      </c>
      <c r="H11" s="43"/>
      <c r="I11" s="43">
        <v>0</v>
      </c>
      <c r="J11" s="43"/>
      <c r="K11" s="320">
        <f t="shared" si="0"/>
        <v>-1</v>
      </c>
      <c r="N11" s="139"/>
      <c r="O11" s="87"/>
      <c r="P11" s="87"/>
      <c r="Q11" s="87"/>
      <c r="R11" s="87"/>
      <c r="S11" s="87"/>
      <c r="T11" s="87"/>
      <c r="U11" s="87"/>
      <c r="V11" s="87"/>
      <c r="W11" s="87"/>
      <c r="X11" s="37"/>
    </row>
    <row r="12" spans="1:24" x14ac:dyDescent="0.2">
      <c r="B12" s="2" t="s">
        <v>392</v>
      </c>
      <c r="C12" s="43">
        <v>75000</v>
      </c>
      <c r="D12" s="87"/>
      <c r="E12" s="229">
        <v>119835.28</v>
      </c>
      <c r="F12" s="87"/>
      <c r="G12" s="43">
        <v>85000</v>
      </c>
      <c r="H12" s="43"/>
      <c r="I12" s="43">
        <v>100000</v>
      </c>
      <c r="J12" s="43"/>
      <c r="K12" s="320">
        <f t="shared" si="0"/>
        <v>0.17647058823529413</v>
      </c>
      <c r="N12" s="139">
        <v>100000</v>
      </c>
      <c r="O12" s="87"/>
      <c r="P12" s="87"/>
      <c r="Q12" s="87"/>
      <c r="R12" s="87"/>
      <c r="S12" s="87"/>
      <c r="T12" s="87"/>
      <c r="U12" s="87"/>
      <c r="V12" s="87"/>
      <c r="W12" s="87"/>
      <c r="X12" s="37"/>
    </row>
    <row r="13" spans="1:24" x14ac:dyDescent="0.2">
      <c r="B13" s="12" t="s">
        <v>20</v>
      </c>
      <c r="C13" s="89">
        <f>SUM(C7:C12)</f>
        <v>2277455</v>
      </c>
      <c r="D13" s="87"/>
      <c r="E13" s="230">
        <f>SUM(E7:E12)</f>
        <v>2654076.9299999997</v>
      </c>
      <c r="F13" s="87"/>
      <c r="G13" s="89">
        <f>SUM(G7:G12)</f>
        <v>2559715</v>
      </c>
      <c r="H13" s="87"/>
      <c r="I13" s="74">
        <f>SUM(I7:I12)</f>
        <v>2850255</v>
      </c>
      <c r="J13" s="43"/>
      <c r="K13" s="321">
        <f t="shared" si="0"/>
        <v>0.1135048237792098</v>
      </c>
      <c r="M13" s="2" t="s">
        <v>420</v>
      </c>
      <c r="N13" s="89">
        <f>SUM(N7:N12)</f>
        <v>123240</v>
      </c>
      <c r="O13" s="74">
        <f>SUM(O7:O12)</f>
        <v>300000</v>
      </c>
      <c r="P13" s="74">
        <f t="shared" ref="P13:W13" si="1">SUM(P7:P12)</f>
        <v>290000</v>
      </c>
      <c r="Q13" s="74">
        <f t="shared" si="1"/>
        <v>696385</v>
      </c>
      <c r="R13" s="74">
        <f t="shared" si="1"/>
        <v>203000</v>
      </c>
      <c r="S13" s="74">
        <f t="shared" si="1"/>
        <v>37630</v>
      </c>
      <c r="T13" s="74">
        <f t="shared" si="1"/>
        <v>200000</v>
      </c>
      <c r="U13" s="74">
        <f t="shared" si="1"/>
        <v>440000</v>
      </c>
      <c r="V13" s="74">
        <f>SUM(V7:V12)</f>
        <v>165000</v>
      </c>
      <c r="W13" s="74">
        <f t="shared" si="1"/>
        <v>395000</v>
      </c>
      <c r="X13" s="37"/>
    </row>
    <row r="14" spans="1:24" x14ac:dyDescent="0.2">
      <c r="C14" s="87"/>
      <c r="D14" s="87"/>
      <c r="E14" s="87"/>
      <c r="F14" s="87"/>
      <c r="G14" s="87"/>
      <c r="H14" s="87"/>
      <c r="I14" s="43"/>
      <c r="J14" s="43"/>
      <c r="N14" s="87"/>
      <c r="O14" s="88"/>
      <c r="P14" s="88"/>
      <c r="Q14" s="88"/>
      <c r="R14" s="88"/>
      <c r="S14" s="88"/>
      <c r="T14" s="88"/>
      <c r="U14" s="88"/>
      <c r="V14" s="88"/>
      <c r="W14" s="88"/>
      <c r="X14" s="37"/>
    </row>
    <row r="15" spans="1:24" x14ac:dyDescent="0.2">
      <c r="A15" s="2" t="s">
        <v>37</v>
      </c>
      <c r="C15" s="87"/>
      <c r="D15" s="87"/>
      <c r="E15" s="87"/>
      <c r="F15" s="87"/>
      <c r="G15" s="87"/>
      <c r="H15" s="87"/>
      <c r="I15" s="43"/>
      <c r="J15" s="43"/>
      <c r="N15" s="87"/>
      <c r="O15" s="88"/>
      <c r="P15" s="88"/>
      <c r="Q15" s="88"/>
      <c r="R15" s="88"/>
      <c r="S15" s="88"/>
      <c r="T15" s="88"/>
      <c r="U15" s="88"/>
      <c r="V15" s="88"/>
      <c r="W15" s="88"/>
      <c r="X15" s="37"/>
    </row>
    <row r="16" spans="1:24" x14ac:dyDescent="0.2">
      <c r="B16" s="2" t="s">
        <v>174</v>
      </c>
      <c r="C16" s="43">
        <v>284869</v>
      </c>
      <c r="D16" s="87"/>
      <c r="E16" s="229">
        <v>267700.23</v>
      </c>
      <c r="F16" s="87"/>
      <c r="G16" s="43">
        <v>244521</v>
      </c>
      <c r="H16" s="43"/>
      <c r="I16" s="43">
        <v>279686</v>
      </c>
      <c r="J16" s="43"/>
      <c r="K16" s="320">
        <f t="shared" ref="K16:K20" si="2">+(I16-G16)/G16</f>
        <v>0.14381177894741146</v>
      </c>
      <c r="M16" s="2" t="s">
        <v>69</v>
      </c>
      <c r="N16" s="87">
        <v>74340</v>
      </c>
      <c r="O16" s="43">
        <v>14923</v>
      </c>
      <c r="P16" s="43">
        <v>30546</v>
      </c>
      <c r="Q16" s="43">
        <v>36385</v>
      </c>
      <c r="R16" s="43">
        <v>22384</v>
      </c>
      <c r="S16" s="43">
        <v>4042</v>
      </c>
      <c r="T16" s="43">
        <v>14319</v>
      </c>
      <c r="U16" s="43">
        <v>32479</v>
      </c>
      <c r="V16" s="43">
        <v>14316</v>
      </c>
      <c r="W16" s="43">
        <v>35952</v>
      </c>
      <c r="X16" s="37"/>
    </row>
    <row r="17" spans="1:24" x14ac:dyDescent="0.2">
      <c r="B17" s="2" t="s">
        <v>214</v>
      </c>
      <c r="C17" s="43">
        <v>18030</v>
      </c>
      <c r="D17" s="87"/>
      <c r="E17" s="229">
        <v>6447.7</v>
      </c>
      <c r="F17" s="87"/>
      <c r="G17" s="43">
        <v>6393</v>
      </c>
      <c r="H17" s="43"/>
      <c r="I17" s="43">
        <v>6994</v>
      </c>
      <c r="J17" s="43"/>
      <c r="K17" s="320">
        <f t="shared" si="2"/>
        <v>9.4009072422962608E-2</v>
      </c>
      <c r="M17" s="2" t="s">
        <v>47</v>
      </c>
      <c r="N17" s="87">
        <v>6994</v>
      </c>
      <c r="O17" s="43"/>
      <c r="P17" s="43"/>
      <c r="Q17" s="43"/>
      <c r="R17" s="43"/>
      <c r="S17" s="43"/>
      <c r="T17" s="43"/>
      <c r="U17" s="43"/>
      <c r="V17" s="43"/>
      <c r="W17" s="43"/>
      <c r="X17" s="37"/>
    </row>
    <row r="18" spans="1:24" hidden="1" x14ac:dyDescent="0.2">
      <c r="B18" s="2" t="s">
        <v>70</v>
      </c>
      <c r="C18" s="43"/>
      <c r="D18" s="87"/>
      <c r="E18" s="87"/>
      <c r="F18" s="87"/>
      <c r="G18" s="43"/>
      <c r="H18" s="43"/>
      <c r="I18" s="43"/>
      <c r="J18" s="43"/>
      <c r="K18" s="320" t="e">
        <f t="shared" si="2"/>
        <v>#DIV/0!</v>
      </c>
      <c r="M18" s="2" t="s">
        <v>70</v>
      </c>
      <c r="N18" s="87"/>
      <c r="O18" s="43"/>
      <c r="P18" s="43"/>
      <c r="Q18" s="43"/>
      <c r="R18" s="43"/>
      <c r="S18" s="43"/>
      <c r="T18" s="43"/>
      <c r="U18" s="43"/>
      <c r="V18" s="43"/>
      <c r="W18" s="43"/>
      <c r="X18" s="37"/>
    </row>
    <row r="19" spans="1:24" x14ac:dyDescent="0.2">
      <c r="B19" s="2" t="s">
        <v>396</v>
      </c>
      <c r="C19" s="43">
        <v>474872</v>
      </c>
      <c r="D19" s="87"/>
      <c r="E19" s="229">
        <v>513004.34</v>
      </c>
      <c r="F19" s="87"/>
      <c r="G19" s="43">
        <v>554144</v>
      </c>
      <c r="H19" s="43"/>
      <c r="I19" s="43">
        <v>609692</v>
      </c>
      <c r="J19" s="43"/>
      <c r="K19" s="320">
        <f t="shared" si="2"/>
        <v>0.10024109256799676</v>
      </c>
      <c r="M19" s="2" t="s">
        <v>48</v>
      </c>
      <c r="N19" s="87">
        <v>5000</v>
      </c>
      <c r="O19" s="43">
        <v>60000</v>
      </c>
      <c r="P19" s="43">
        <v>121800</v>
      </c>
      <c r="Q19" s="43">
        <v>111422</v>
      </c>
      <c r="R19" s="43">
        <v>44660</v>
      </c>
      <c r="S19" s="43">
        <v>10160</v>
      </c>
      <c r="T19" s="43">
        <v>60000</v>
      </c>
      <c r="U19" s="43">
        <v>48400</v>
      </c>
      <c r="V19" s="43">
        <v>49500</v>
      </c>
      <c r="W19" s="43">
        <v>98750</v>
      </c>
      <c r="X19" s="37"/>
    </row>
    <row r="20" spans="1:24" x14ac:dyDescent="0.2">
      <c r="B20" s="12" t="s">
        <v>23</v>
      </c>
      <c r="C20" s="89">
        <f>SUM(C16:C19)</f>
        <v>777771</v>
      </c>
      <c r="D20" s="87"/>
      <c r="E20" s="230">
        <f>SUM(E16:E19)</f>
        <v>787152.27</v>
      </c>
      <c r="F20" s="87"/>
      <c r="G20" s="89">
        <f>SUM(G16:G19)</f>
        <v>805058</v>
      </c>
      <c r="H20" s="87"/>
      <c r="I20" s="74">
        <f>SUM(I16:I19)</f>
        <v>896372</v>
      </c>
      <c r="J20" s="43"/>
      <c r="K20" s="321">
        <f t="shared" si="2"/>
        <v>0.11342536811012374</v>
      </c>
      <c r="M20" s="12" t="s">
        <v>23</v>
      </c>
      <c r="N20" s="89">
        <f>SUM(N16:N19)</f>
        <v>86334</v>
      </c>
      <c r="O20" s="89">
        <f t="shared" ref="O20:W20" si="3">SUM(O16:O19)</f>
        <v>74923</v>
      </c>
      <c r="P20" s="89">
        <f t="shared" si="3"/>
        <v>152346</v>
      </c>
      <c r="Q20" s="89">
        <f t="shared" si="3"/>
        <v>147807</v>
      </c>
      <c r="R20" s="89">
        <f t="shared" si="3"/>
        <v>67044</v>
      </c>
      <c r="S20" s="89">
        <f t="shared" si="3"/>
        <v>14202</v>
      </c>
      <c r="T20" s="89">
        <f t="shared" si="3"/>
        <v>74319</v>
      </c>
      <c r="U20" s="89">
        <f t="shared" si="3"/>
        <v>80879</v>
      </c>
      <c r="V20" s="89">
        <f>SUM(V16:V19)</f>
        <v>63816</v>
      </c>
      <c r="W20" s="141">
        <f t="shared" si="3"/>
        <v>134702</v>
      </c>
      <c r="X20" s="37"/>
    </row>
    <row r="21" spans="1:24" x14ac:dyDescent="0.2">
      <c r="C21" s="87"/>
      <c r="D21" s="87"/>
      <c r="E21" s="87"/>
      <c r="F21" s="87"/>
      <c r="G21" s="87"/>
      <c r="H21" s="87"/>
      <c r="I21" s="43"/>
      <c r="J21" s="43"/>
      <c r="N21" s="87"/>
      <c r="O21" s="43"/>
      <c r="P21" s="43"/>
      <c r="Q21" s="43"/>
      <c r="R21" s="43"/>
      <c r="S21" s="43"/>
      <c r="T21" s="43"/>
      <c r="U21" s="43"/>
      <c r="V21" s="43"/>
      <c r="W21" s="43"/>
      <c r="X21" s="37"/>
    </row>
    <row r="22" spans="1:24" x14ac:dyDescent="0.2">
      <c r="A22" s="2" t="s">
        <v>24</v>
      </c>
      <c r="C22" s="87"/>
      <c r="D22" s="87"/>
      <c r="E22" s="87"/>
      <c r="F22" s="87"/>
      <c r="G22" s="87"/>
      <c r="H22" s="87"/>
      <c r="I22" s="43"/>
      <c r="J22" s="43"/>
      <c r="N22" s="87"/>
      <c r="O22" s="43"/>
      <c r="P22" s="43"/>
      <c r="Q22" s="43"/>
      <c r="R22" s="43"/>
      <c r="S22" s="43"/>
      <c r="T22" s="43"/>
      <c r="U22" s="43"/>
      <c r="V22" s="43"/>
      <c r="W22" s="43"/>
      <c r="X22" s="37"/>
    </row>
    <row r="23" spans="1:24" x14ac:dyDescent="0.2">
      <c r="B23" s="2" t="s">
        <v>175</v>
      </c>
      <c r="C23" s="75">
        <v>207249</v>
      </c>
      <c r="D23" s="87"/>
      <c r="E23" s="325">
        <v>174591.3</v>
      </c>
      <c r="F23" s="87"/>
      <c r="G23" s="75">
        <v>168368</v>
      </c>
      <c r="H23" s="43"/>
      <c r="I23" s="75">
        <v>203293</v>
      </c>
      <c r="J23" s="43"/>
      <c r="K23" s="323">
        <f t="shared" ref="K23" si="4">+(I23-G23)/G23</f>
        <v>0.20743252874655516</v>
      </c>
      <c r="M23" s="2" t="s">
        <v>25</v>
      </c>
      <c r="N23" s="89">
        <v>46458</v>
      </c>
      <c r="O23" s="89">
        <v>16174</v>
      </c>
      <c r="P23" s="89">
        <v>25938</v>
      </c>
      <c r="Q23" s="89">
        <v>25923</v>
      </c>
      <c r="R23" s="89">
        <v>16155</v>
      </c>
      <c r="S23" s="89">
        <v>2835</v>
      </c>
      <c r="T23" s="89">
        <v>12678</v>
      </c>
      <c r="U23" s="89">
        <v>17640</v>
      </c>
      <c r="V23" s="89">
        <v>12468</v>
      </c>
      <c r="W23" s="89">
        <v>27023</v>
      </c>
      <c r="X23" s="145">
        <f>SUM(N23:W23)</f>
        <v>203292</v>
      </c>
    </row>
    <row r="24" spans="1:24" x14ac:dyDescent="0.2">
      <c r="B24" s="12" t="s">
        <v>38</v>
      </c>
      <c r="C24" s="148">
        <f>C23</f>
        <v>207249</v>
      </c>
      <c r="D24" s="53"/>
      <c r="E24" s="148">
        <f>E23</f>
        <v>174591.3</v>
      </c>
      <c r="F24" s="53"/>
      <c r="G24" s="89">
        <f>G23</f>
        <v>168368</v>
      </c>
      <c r="H24" s="87"/>
      <c r="I24" s="74">
        <f>I23</f>
        <v>203293</v>
      </c>
      <c r="J24" s="43"/>
      <c r="K24" s="321">
        <f>K23</f>
        <v>0.20743252874655516</v>
      </c>
      <c r="N24" s="87"/>
      <c r="O24" s="88"/>
      <c r="P24" s="88"/>
      <c r="Q24" s="88"/>
      <c r="R24" s="88"/>
      <c r="S24" s="88"/>
      <c r="T24" s="88"/>
      <c r="U24" s="88"/>
      <c r="V24" s="88"/>
      <c r="W24" s="88"/>
      <c r="X24" s="37"/>
    </row>
    <row r="25" spans="1:24" x14ac:dyDescent="0.2">
      <c r="C25" s="53"/>
      <c r="D25" s="53"/>
      <c r="E25" s="53"/>
      <c r="F25" s="53"/>
      <c r="G25" s="87"/>
      <c r="H25" s="87"/>
      <c r="I25" s="43"/>
      <c r="J25" s="43"/>
      <c r="N25" s="87"/>
      <c r="O25" s="11"/>
      <c r="P25" s="11"/>
      <c r="Q25" s="11"/>
      <c r="R25" s="11"/>
      <c r="S25" s="11"/>
      <c r="T25" s="11"/>
      <c r="U25" s="11"/>
      <c r="V25" s="11"/>
      <c r="W25" s="11"/>
      <c r="X25" s="37"/>
    </row>
    <row r="26" spans="1:24" x14ac:dyDescent="0.2">
      <c r="A26" s="2" t="s">
        <v>27</v>
      </c>
      <c r="C26" s="53"/>
      <c r="D26" s="53"/>
      <c r="E26" s="53"/>
      <c r="F26" s="53"/>
      <c r="G26" s="87"/>
      <c r="H26" s="87"/>
      <c r="I26" s="43"/>
      <c r="J26" s="43"/>
      <c r="N26" s="87"/>
      <c r="O26" s="11"/>
      <c r="P26" s="11"/>
      <c r="Q26" s="11"/>
      <c r="R26" s="11"/>
      <c r="S26" s="11"/>
      <c r="T26" s="11"/>
      <c r="U26" s="11"/>
      <c r="V26" s="11"/>
      <c r="W26" s="11"/>
      <c r="X26" s="37"/>
    </row>
    <row r="27" spans="1:24" x14ac:dyDescent="0.2">
      <c r="B27" s="13" t="s">
        <v>270</v>
      </c>
      <c r="C27" s="43">
        <v>10000</v>
      </c>
      <c r="D27" s="87"/>
      <c r="E27" s="229">
        <v>25255.19</v>
      </c>
      <c r="F27" s="87"/>
      <c r="G27" s="43">
        <f>SUM(M27:U27)+L27</f>
        <v>10000</v>
      </c>
      <c r="H27" s="43"/>
      <c r="I27" s="43">
        <v>10000</v>
      </c>
      <c r="J27" s="43"/>
      <c r="K27" s="320">
        <f t="shared" ref="K27:K45" si="5">+(I27-G27)/G27</f>
        <v>0</v>
      </c>
      <c r="M27" s="13" t="s">
        <v>49</v>
      </c>
      <c r="N27" s="87">
        <v>10000</v>
      </c>
      <c r="O27" s="15"/>
      <c r="P27" s="15"/>
      <c r="Q27" s="15"/>
      <c r="R27" s="15"/>
      <c r="S27" s="15"/>
      <c r="T27" s="15"/>
      <c r="U27" s="15"/>
      <c r="V27" s="15"/>
      <c r="W27" s="15"/>
      <c r="X27" s="37"/>
    </row>
    <row r="28" spans="1:24" x14ac:dyDescent="0.2">
      <c r="B28" s="13" t="s">
        <v>178</v>
      </c>
      <c r="C28" s="43">
        <v>4000</v>
      </c>
      <c r="D28" s="87"/>
      <c r="E28" s="229">
        <v>13217.91</v>
      </c>
      <c r="F28" s="87"/>
      <c r="G28" s="43">
        <f>SUM(M28:U28)+L28</f>
        <v>4000</v>
      </c>
      <c r="H28" s="43"/>
      <c r="I28" s="43">
        <v>4000</v>
      </c>
      <c r="J28" s="43"/>
      <c r="K28" s="320">
        <f t="shared" si="5"/>
        <v>0</v>
      </c>
      <c r="M28" s="2" t="s">
        <v>50</v>
      </c>
      <c r="N28" s="87">
        <v>4000</v>
      </c>
      <c r="O28" s="15"/>
      <c r="P28" s="15"/>
      <c r="Q28" s="15"/>
      <c r="R28" s="15"/>
      <c r="S28" s="15"/>
      <c r="T28" s="15"/>
      <c r="U28" s="15"/>
      <c r="V28" s="15"/>
      <c r="W28" s="15"/>
      <c r="X28" s="37"/>
    </row>
    <row r="29" spans="1:24" x14ac:dyDescent="0.2">
      <c r="B29" s="2" t="s">
        <v>321</v>
      </c>
      <c r="C29" s="43">
        <v>5000</v>
      </c>
      <c r="D29" s="87"/>
      <c r="E29" s="229">
        <v>4975.42</v>
      </c>
      <c r="F29" s="87"/>
      <c r="G29" s="43">
        <f>SUM(M29:U29)+L29</f>
        <v>5000</v>
      </c>
      <c r="H29" s="43"/>
      <c r="I29" s="43">
        <v>5000</v>
      </c>
      <c r="J29" s="43"/>
      <c r="K29" s="320">
        <f t="shared" si="5"/>
        <v>0</v>
      </c>
      <c r="N29" s="87">
        <v>5000</v>
      </c>
      <c r="O29" s="15"/>
      <c r="P29" s="15"/>
      <c r="Q29" s="15"/>
      <c r="R29" s="15"/>
      <c r="S29" s="15"/>
      <c r="T29" s="15"/>
      <c r="U29" s="15"/>
      <c r="V29" s="15"/>
      <c r="W29" s="15"/>
      <c r="X29" s="37"/>
    </row>
    <row r="30" spans="1:24" x14ac:dyDescent="0.2">
      <c r="B30" s="2" t="s">
        <v>180</v>
      </c>
      <c r="C30" s="43">
        <v>0</v>
      </c>
      <c r="D30" s="87"/>
      <c r="E30" s="229">
        <v>22.73</v>
      </c>
      <c r="F30" s="87"/>
      <c r="G30" s="43">
        <f>SUM(M30:U30)+L30</f>
        <v>0</v>
      </c>
      <c r="H30" s="43"/>
      <c r="I30" s="43">
        <v>0</v>
      </c>
      <c r="J30" s="43"/>
      <c r="K30" s="320">
        <v>0</v>
      </c>
      <c r="N30" s="87">
        <v>0</v>
      </c>
      <c r="O30" s="15"/>
      <c r="P30" s="15"/>
      <c r="Q30" s="15"/>
      <c r="R30" s="15"/>
      <c r="S30" s="15"/>
      <c r="T30" s="15"/>
      <c r="U30" s="15"/>
      <c r="V30" s="15"/>
      <c r="W30" s="15"/>
      <c r="X30" s="37"/>
    </row>
    <row r="31" spans="1:24" hidden="1" x14ac:dyDescent="0.2">
      <c r="B31" s="13" t="s">
        <v>64</v>
      </c>
      <c r="C31" s="43">
        <v>0</v>
      </c>
      <c r="D31" s="87"/>
      <c r="E31" s="87"/>
      <c r="F31" s="87"/>
      <c r="G31" s="43">
        <f>SUM(M31:U31)+L31</f>
        <v>0</v>
      </c>
      <c r="H31" s="43"/>
      <c r="I31" s="262">
        <f>SUM(O31:W31)+N31</f>
        <v>0</v>
      </c>
      <c r="J31" s="262"/>
      <c r="K31" s="322" t="e">
        <f t="shared" si="5"/>
        <v>#DIV/0!</v>
      </c>
      <c r="N31" s="87">
        <v>0</v>
      </c>
      <c r="O31" s="15"/>
      <c r="P31" s="15"/>
      <c r="Q31" s="15"/>
      <c r="R31" s="15"/>
      <c r="S31" s="15"/>
      <c r="T31" s="15"/>
      <c r="U31" s="15"/>
      <c r="V31" s="15"/>
      <c r="W31" s="15"/>
      <c r="X31" s="37"/>
    </row>
    <row r="32" spans="1:24" x14ac:dyDescent="0.2">
      <c r="B32" s="13" t="s">
        <v>403</v>
      </c>
      <c r="C32" s="43">
        <v>2500</v>
      </c>
      <c r="D32" s="87"/>
      <c r="E32" s="229">
        <v>2664.97</v>
      </c>
      <c r="F32" s="87"/>
      <c r="G32" s="43">
        <v>5000</v>
      </c>
      <c r="H32" s="43"/>
      <c r="I32" s="43">
        <v>5500</v>
      </c>
      <c r="J32" s="43"/>
      <c r="K32" s="320">
        <f t="shared" si="5"/>
        <v>0.1</v>
      </c>
      <c r="M32" s="2" t="s">
        <v>79</v>
      </c>
      <c r="N32" s="87">
        <v>0</v>
      </c>
      <c r="O32" s="15"/>
      <c r="P32" s="15"/>
      <c r="Q32" s="15"/>
      <c r="R32" s="15"/>
      <c r="S32" s="15"/>
      <c r="T32" s="15"/>
      <c r="U32" s="15"/>
      <c r="V32" s="15">
        <v>2500</v>
      </c>
      <c r="W32" s="43">
        <v>3000</v>
      </c>
      <c r="X32" s="37"/>
    </row>
    <row r="33" spans="2:25" x14ac:dyDescent="0.2">
      <c r="B33" s="13" t="s">
        <v>402</v>
      </c>
      <c r="C33" s="43">
        <v>5000</v>
      </c>
      <c r="D33" s="87"/>
      <c r="E33" s="229">
        <v>32203.48</v>
      </c>
      <c r="F33" s="87"/>
      <c r="G33" s="43">
        <v>6000</v>
      </c>
      <c r="H33" s="43"/>
      <c r="I33" s="43">
        <v>6000</v>
      </c>
      <c r="J33" s="43"/>
      <c r="K33" s="320">
        <f t="shared" si="5"/>
        <v>0</v>
      </c>
      <c r="N33" s="87">
        <v>6000</v>
      </c>
      <c r="O33" s="15"/>
      <c r="P33" s="15"/>
      <c r="Q33" s="15"/>
      <c r="R33" s="15"/>
      <c r="S33" s="15"/>
      <c r="T33" s="15"/>
      <c r="U33" s="15"/>
      <c r="V33" s="15"/>
      <c r="W33" s="15"/>
      <c r="X33" s="37"/>
    </row>
    <row r="34" spans="2:25" x14ac:dyDescent="0.2">
      <c r="B34" s="2" t="s">
        <v>404</v>
      </c>
      <c r="C34" s="43">
        <v>90850</v>
      </c>
      <c r="D34" s="87"/>
      <c r="E34" s="229">
        <v>41980.17</v>
      </c>
      <c r="F34" s="87"/>
      <c r="G34" s="43">
        <v>92550</v>
      </c>
      <c r="H34" s="43"/>
      <c r="I34" s="43">
        <v>98819</v>
      </c>
      <c r="J34" s="43"/>
      <c r="K34" s="320">
        <f t="shared" si="5"/>
        <v>6.7736358725013504E-2</v>
      </c>
      <c r="M34" s="2" t="s">
        <v>108</v>
      </c>
      <c r="N34" s="87">
        <v>0</v>
      </c>
      <c r="O34" s="43">
        <v>25000</v>
      </c>
      <c r="P34" s="43"/>
      <c r="Q34" s="43">
        <v>34819</v>
      </c>
      <c r="R34" s="43">
        <v>5000</v>
      </c>
      <c r="S34" s="43"/>
      <c r="T34" s="43"/>
      <c r="U34" s="43">
        <v>34000</v>
      </c>
      <c r="V34" s="43"/>
      <c r="W34" s="43"/>
      <c r="X34" s="72"/>
      <c r="Y34" s="79"/>
    </row>
    <row r="35" spans="2:25" x14ac:dyDescent="0.2">
      <c r="B35" s="13" t="s">
        <v>216</v>
      </c>
      <c r="C35" s="43">
        <v>17062</v>
      </c>
      <c r="D35" s="87"/>
      <c r="E35" s="229">
        <v>12545.69</v>
      </c>
      <c r="F35" s="87"/>
      <c r="G35" s="43">
        <v>20785</v>
      </c>
      <c r="H35" s="43"/>
      <c r="I35" s="43">
        <v>22481</v>
      </c>
      <c r="J35" s="43"/>
      <c r="K35" s="320">
        <f t="shared" si="5"/>
        <v>8.1597305749338461E-2</v>
      </c>
      <c r="M35" s="13" t="s">
        <v>94</v>
      </c>
      <c r="N35" s="87">
        <v>0</v>
      </c>
      <c r="O35" s="43">
        <v>2500</v>
      </c>
      <c r="P35" s="43">
        <v>2900</v>
      </c>
      <c r="Q35" s="43">
        <v>4875</v>
      </c>
      <c r="R35" s="43">
        <v>2030</v>
      </c>
      <c r="S35" s="43">
        <v>376</v>
      </c>
      <c r="T35" s="43">
        <v>2000</v>
      </c>
      <c r="U35" s="43">
        <v>2200</v>
      </c>
      <c r="V35" s="43">
        <v>1650</v>
      </c>
      <c r="W35" s="43">
        <v>3950</v>
      </c>
      <c r="X35" s="72"/>
      <c r="Y35" s="79"/>
    </row>
    <row r="36" spans="2:25" x14ac:dyDescent="0.2">
      <c r="B36" s="13" t="s">
        <v>405</v>
      </c>
      <c r="C36" s="43">
        <v>5500</v>
      </c>
      <c r="D36" s="87"/>
      <c r="E36" s="229">
        <v>7001.09</v>
      </c>
      <c r="F36" s="87"/>
      <c r="G36" s="43">
        <v>5500</v>
      </c>
      <c r="H36" s="43"/>
      <c r="I36" s="43">
        <v>5500</v>
      </c>
      <c r="J36" s="43"/>
      <c r="K36" s="320">
        <f t="shared" si="5"/>
        <v>0</v>
      </c>
      <c r="M36" s="2" t="s">
        <v>72</v>
      </c>
      <c r="N36" s="87">
        <v>5500</v>
      </c>
      <c r="O36" s="43"/>
      <c r="P36" s="43"/>
      <c r="Q36" s="43"/>
      <c r="R36" s="43"/>
      <c r="S36" s="43"/>
      <c r="T36" s="43"/>
      <c r="U36" s="43"/>
      <c r="V36" s="43"/>
      <c r="W36" s="43"/>
      <c r="X36" s="72"/>
      <c r="Y36" s="79"/>
    </row>
    <row r="37" spans="2:25" x14ac:dyDescent="0.2">
      <c r="B37" s="13" t="s">
        <v>406</v>
      </c>
      <c r="C37" s="43">
        <v>18000</v>
      </c>
      <c r="D37" s="87"/>
      <c r="E37" s="229">
        <v>19531.169999999998</v>
      </c>
      <c r="F37" s="87"/>
      <c r="G37" s="43">
        <v>18000</v>
      </c>
      <c r="H37" s="43"/>
      <c r="I37" s="43">
        <v>27308</v>
      </c>
      <c r="J37" s="43"/>
      <c r="K37" s="320">
        <f t="shared" si="5"/>
        <v>0.51711111111111108</v>
      </c>
      <c r="N37" s="87">
        <v>27308</v>
      </c>
      <c r="O37" s="43"/>
      <c r="P37" s="43"/>
      <c r="Q37" s="43"/>
      <c r="R37" s="43"/>
      <c r="S37" s="43"/>
      <c r="T37" s="43"/>
      <c r="U37" s="43"/>
      <c r="V37" s="43"/>
      <c r="W37" s="43"/>
      <c r="X37" s="72"/>
      <c r="Y37" s="79"/>
    </row>
    <row r="38" spans="2:25" x14ac:dyDescent="0.2">
      <c r="B38" s="2" t="s">
        <v>407</v>
      </c>
      <c r="C38" s="43">
        <v>11418</v>
      </c>
      <c r="D38" s="87"/>
      <c r="E38" s="229">
        <v>5371.2</v>
      </c>
      <c r="F38" s="87"/>
      <c r="G38" s="43">
        <v>15416</v>
      </c>
      <c r="H38" s="43"/>
      <c r="I38" s="43">
        <v>0</v>
      </c>
      <c r="J38" s="43"/>
      <c r="K38" s="320">
        <f t="shared" si="5"/>
        <v>-1</v>
      </c>
      <c r="N38" s="87">
        <v>0</v>
      </c>
      <c r="O38" s="43"/>
      <c r="P38" s="43"/>
      <c r="Q38" s="43"/>
      <c r="R38" s="43"/>
      <c r="S38" s="43"/>
      <c r="T38" s="43"/>
      <c r="U38" s="43"/>
      <c r="V38" s="43"/>
      <c r="W38" s="43"/>
      <c r="X38" s="72"/>
      <c r="Y38" s="79"/>
    </row>
    <row r="39" spans="2:25" x14ac:dyDescent="0.2">
      <c r="B39" s="13" t="s">
        <v>413</v>
      </c>
      <c r="C39" s="43">
        <v>65081</v>
      </c>
      <c r="D39" s="87"/>
      <c r="E39" s="229">
        <v>69977.850000000006</v>
      </c>
      <c r="F39" s="87"/>
      <c r="G39" s="43">
        <v>67000</v>
      </c>
      <c r="H39" s="43"/>
      <c r="I39" s="43">
        <v>78902</v>
      </c>
      <c r="J39" s="43"/>
      <c r="K39" s="320">
        <f t="shared" si="5"/>
        <v>0.17764179104477612</v>
      </c>
      <c r="N39" s="87">
        <v>78902</v>
      </c>
      <c r="O39" s="43"/>
      <c r="P39" s="43"/>
      <c r="Q39" s="43"/>
      <c r="R39" s="43"/>
      <c r="S39" s="43"/>
      <c r="T39" s="43"/>
      <c r="U39" s="43"/>
      <c r="V39" s="43"/>
      <c r="W39" s="43"/>
      <c r="X39" s="72"/>
      <c r="Y39" s="79"/>
    </row>
    <row r="40" spans="2:25" x14ac:dyDescent="0.2">
      <c r="B40" s="13" t="s">
        <v>408</v>
      </c>
      <c r="C40" s="43">
        <v>0</v>
      </c>
      <c r="D40" s="87"/>
      <c r="E40" s="229">
        <v>55992</v>
      </c>
      <c r="F40" s="87"/>
      <c r="G40" s="43">
        <v>59911</v>
      </c>
      <c r="H40" s="43"/>
      <c r="I40" s="43">
        <v>79656</v>
      </c>
      <c r="J40" s="43"/>
      <c r="K40" s="320">
        <f t="shared" si="5"/>
        <v>0.32957219876149624</v>
      </c>
      <c r="N40" s="87">
        <v>79656</v>
      </c>
      <c r="O40" s="43"/>
      <c r="P40" s="43"/>
      <c r="Q40" s="43"/>
      <c r="R40" s="43"/>
      <c r="S40" s="43"/>
      <c r="T40" s="43"/>
      <c r="U40" s="43"/>
      <c r="V40" s="43"/>
      <c r="W40" s="43"/>
      <c r="X40" s="72"/>
      <c r="Y40" s="79"/>
    </row>
    <row r="41" spans="2:25" x14ac:dyDescent="0.2">
      <c r="B41" s="13" t="s">
        <v>401</v>
      </c>
      <c r="C41" s="43">
        <v>59897</v>
      </c>
      <c r="D41" s="87"/>
      <c r="E41" s="229">
        <v>79231.02</v>
      </c>
      <c r="F41" s="87"/>
      <c r="G41" s="43">
        <v>75461</v>
      </c>
      <c r="H41" s="43"/>
      <c r="I41" s="43">
        <v>103229</v>
      </c>
      <c r="J41" s="43"/>
      <c r="K41" s="320">
        <f t="shared" si="5"/>
        <v>0.36797816090430818</v>
      </c>
      <c r="M41" s="13" t="s">
        <v>71</v>
      </c>
      <c r="N41" s="87">
        <v>0</v>
      </c>
      <c r="O41" s="43">
        <v>10500</v>
      </c>
      <c r="P41" s="43">
        <v>11600</v>
      </c>
      <c r="Q41" s="43">
        <v>27855</v>
      </c>
      <c r="R41" s="43">
        <v>8120</v>
      </c>
      <c r="S41" s="43">
        <v>1129</v>
      </c>
      <c r="T41" s="43">
        <v>6000</v>
      </c>
      <c r="U41" s="43">
        <v>17600</v>
      </c>
      <c r="V41" s="43">
        <v>6600</v>
      </c>
      <c r="W41" s="43">
        <v>13825</v>
      </c>
      <c r="X41" s="72"/>
      <c r="Y41" s="79"/>
    </row>
    <row r="42" spans="2:25" x14ac:dyDescent="0.2">
      <c r="B42" s="2" t="s">
        <v>400</v>
      </c>
      <c r="C42" s="43">
        <v>9000</v>
      </c>
      <c r="D42" s="87"/>
      <c r="E42" s="229">
        <v>9216.7800000000007</v>
      </c>
      <c r="F42" s="87"/>
      <c r="G42" s="43">
        <v>11000</v>
      </c>
      <c r="H42" s="43"/>
      <c r="I42" s="43">
        <v>11000</v>
      </c>
      <c r="J42" s="43"/>
      <c r="K42" s="320">
        <f t="shared" si="5"/>
        <v>0</v>
      </c>
      <c r="N42" s="87">
        <v>11000</v>
      </c>
      <c r="O42" s="43"/>
      <c r="P42" s="43"/>
      <c r="Q42" s="43"/>
      <c r="R42" s="43"/>
      <c r="S42" s="43"/>
      <c r="T42" s="43"/>
      <c r="U42" s="43"/>
      <c r="V42" s="43"/>
      <c r="W42" s="43"/>
      <c r="X42" s="72"/>
      <c r="Y42" s="79"/>
    </row>
    <row r="43" spans="2:25" x14ac:dyDescent="0.2">
      <c r="B43" s="2" t="s">
        <v>399</v>
      </c>
      <c r="C43" s="43">
        <v>6000</v>
      </c>
      <c r="D43" s="87"/>
      <c r="E43" s="229">
        <v>8020.43</v>
      </c>
      <c r="F43" s="87"/>
      <c r="G43" s="43">
        <v>6000</v>
      </c>
      <c r="H43" s="43"/>
      <c r="I43" s="43">
        <v>6000</v>
      </c>
      <c r="J43" s="43"/>
      <c r="K43" s="320">
        <f t="shared" si="5"/>
        <v>0</v>
      </c>
      <c r="N43" s="87">
        <v>6000</v>
      </c>
      <c r="O43" s="43"/>
      <c r="P43" s="43"/>
      <c r="Q43" s="43"/>
      <c r="R43" s="43"/>
      <c r="S43" s="43"/>
      <c r="T43" s="43"/>
      <c r="U43" s="43"/>
      <c r="V43" s="43"/>
      <c r="W43" s="43"/>
      <c r="X43" s="72"/>
      <c r="Y43" s="79"/>
    </row>
    <row r="44" spans="2:25" x14ac:dyDescent="0.2">
      <c r="B44" s="2" t="s">
        <v>397</v>
      </c>
      <c r="C44" s="43">
        <v>84237</v>
      </c>
      <c r="D44" s="87"/>
      <c r="E44" s="229">
        <v>111390.42</v>
      </c>
      <c r="F44" s="87"/>
      <c r="G44" s="43">
        <v>98551</v>
      </c>
      <c r="H44" s="43"/>
      <c r="I44" s="43">
        <v>110921</v>
      </c>
      <c r="J44" s="43"/>
      <c r="K44" s="320">
        <f t="shared" si="5"/>
        <v>0.1255187669328571</v>
      </c>
      <c r="M44" s="2" t="s">
        <v>73</v>
      </c>
      <c r="N44" s="87">
        <v>0</v>
      </c>
      <c r="O44" s="43">
        <v>15000</v>
      </c>
      <c r="P44" s="43">
        <v>8700</v>
      </c>
      <c r="Q44" s="43">
        <v>34819</v>
      </c>
      <c r="R44" s="43">
        <v>8120</v>
      </c>
      <c r="S44" s="43">
        <v>1882</v>
      </c>
      <c r="T44" s="43">
        <v>10000</v>
      </c>
      <c r="U44" s="43">
        <v>4400</v>
      </c>
      <c r="V44" s="43">
        <v>8250</v>
      </c>
      <c r="W44" s="43">
        <v>19750</v>
      </c>
      <c r="X44" s="72"/>
      <c r="Y44" s="79"/>
    </row>
    <row r="45" spans="2:25" x14ac:dyDescent="0.2">
      <c r="B45" s="2" t="s">
        <v>398</v>
      </c>
      <c r="C45" s="43">
        <v>898468</v>
      </c>
      <c r="D45" s="87"/>
      <c r="E45" s="229">
        <v>1024000.01</v>
      </c>
      <c r="F45" s="87"/>
      <c r="G45" s="43">
        <v>1034426</v>
      </c>
      <c r="H45" s="43"/>
      <c r="I45" s="43">
        <v>1166843</v>
      </c>
      <c r="J45" s="43"/>
      <c r="K45" s="320">
        <f t="shared" si="5"/>
        <v>0.12801012348877541</v>
      </c>
      <c r="M45" s="2" t="s">
        <v>74</v>
      </c>
      <c r="N45" s="87">
        <v>0</v>
      </c>
      <c r="O45" s="43">
        <v>105000</v>
      </c>
      <c r="P45" s="43">
        <v>95700</v>
      </c>
      <c r="Q45" s="43">
        <v>285518</v>
      </c>
      <c r="R45" s="43">
        <v>85260</v>
      </c>
      <c r="S45" s="43">
        <v>18815</v>
      </c>
      <c r="T45" s="43">
        <v>86000</v>
      </c>
      <c r="U45" s="43">
        <v>272800</v>
      </c>
      <c r="V45" s="43">
        <v>67650</v>
      </c>
      <c r="W45" s="43">
        <v>150100</v>
      </c>
      <c r="X45" s="72"/>
      <c r="Y45" s="79"/>
    </row>
    <row r="46" spans="2:25" x14ac:dyDescent="0.2">
      <c r="B46" s="2" t="s">
        <v>409</v>
      </c>
      <c r="C46" s="43">
        <v>0</v>
      </c>
      <c r="D46" s="87"/>
      <c r="E46" s="229">
        <v>50000</v>
      </c>
      <c r="F46" s="87"/>
      <c r="G46" s="43">
        <f>SUM(M46:U46)+L46</f>
        <v>0</v>
      </c>
      <c r="H46" s="43"/>
      <c r="I46" s="43">
        <f>SUM(O46:W46)+N46</f>
        <v>0</v>
      </c>
      <c r="J46" s="43"/>
      <c r="K46" s="320">
        <v>1</v>
      </c>
      <c r="N46" s="87">
        <v>0</v>
      </c>
      <c r="O46" s="43"/>
      <c r="P46" s="43"/>
      <c r="Q46" s="43"/>
      <c r="R46" s="43"/>
      <c r="S46" s="43"/>
      <c r="T46" s="43"/>
      <c r="U46" s="43"/>
      <c r="V46" s="43"/>
      <c r="W46" s="43"/>
      <c r="X46" s="72"/>
      <c r="Y46" s="79"/>
    </row>
    <row r="47" spans="2:25" hidden="1" x14ac:dyDescent="0.2">
      <c r="B47" s="2" t="s">
        <v>75</v>
      </c>
      <c r="C47" s="53">
        <v>0</v>
      </c>
      <c r="D47" s="53"/>
      <c r="E47" s="53"/>
      <c r="F47" s="53"/>
      <c r="G47" s="43">
        <v>0</v>
      </c>
      <c r="H47" s="43"/>
      <c r="I47" s="43">
        <f>SUM(O47:W47)+N47</f>
        <v>0</v>
      </c>
      <c r="J47" s="43"/>
      <c r="N47" s="87"/>
      <c r="O47" s="43"/>
      <c r="P47" s="43"/>
      <c r="Q47" s="43"/>
      <c r="R47" s="43"/>
      <c r="S47" s="43"/>
      <c r="T47" s="43"/>
      <c r="U47" s="43"/>
      <c r="V47" s="43"/>
      <c r="W47" s="43"/>
      <c r="X47" s="72"/>
      <c r="Y47" s="79"/>
    </row>
    <row r="48" spans="2:25" x14ac:dyDescent="0.2">
      <c r="B48" s="12" t="s">
        <v>76</v>
      </c>
      <c r="C48" s="89">
        <f>SUM(C27:C47)</f>
        <v>1292013</v>
      </c>
      <c r="D48" s="53"/>
      <c r="E48" s="148">
        <f>SUM(E27:E46)</f>
        <v>1572597.53</v>
      </c>
      <c r="F48" s="53"/>
      <c r="G48" s="89">
        <f>SUM(G27:G47)</f>
        <v>1534600</v>
      </c>
      <c r="H48" s="87"/>
      <c r="I48" s="74">
        <f>SUM(I27:I47)</f>
        <v>1741159</v>
      </c>
      <c r="J48" s="43"/>
      <c r="K48" s="321">
        <f t="shared" ref="K48" si="6">+(I48-G48)/G48</f>
        <v>0.13460119900951387</v>
      </c>
      <c r="M48" s="2" t="s">
        <v>32</v>
      </c>
      <c r="N48" s="89">
        <f>SUM(N27:N47)</f>
        <v>233366</v>
      </c>
      <c r="O48" s="74">
        <f t="shared" ref="O48:W48" si="7">SUM(O27:O45)</f>
        <v>158000</v>
      </c>
      <c r="P48" s="74">
        <f t="shared" si="7"/>
        <v>118900</v>
      </c>
      <c r="Q48" s="74">
        <f t="shared" si="7"/>
        <v>387886</v>
      </c>
      <c r="R48" s="74">
        <f t="shared" si="7"/>
        <v>108530</v>
      </c>
      <c r="S48" s="74">
        <f t="shared" si="7"/>
        <v>22202</v>
      </c>
      <c r="T48" s="74">
        <f t="shared" si="7"/>
        <v>104000</v>
      </c>
      <c r="U48" s="74">
        <f>SUM(U27:U46)</f>
        <v>331000</v>
      </c>
      <c r="V48" s="74">
        <f>SUM(V27:V46)</f>
        <v>86650</v>
      </c>
      <c r="W48" s="74">
        <f t="shared" si="7"/>
        <v>190625</v>
      </c>
      <c r="X48" s="72"/>
      <c r="Y48" s="79"/>
    </row>
    <row r="49" spans="2:25" x14ac:dyDescent="0.2">
      <c r="C49" s="53"/>
      <c r="D49" s="53"/>
      <c r="E49" s="53"/>
      <c r="F49" s="53"/>
      <c r="G49" s="87"/>
      <c r="H49" s="87"/>
      <c r="I49" s="43"/>
      <c r="J49" s="43"/>
      <c r="N49" s="87"/>
      <c r="O49" s="43"/>
      <c r="P49" s="43"/>
      <c r="Q49" s="43"/>
      <c r="R49" s="43"/>
      <c r="S49" s="43"/>
      <c r="T49" s="43"/>
      <c r="U49" s="43"/>
      <c r="V49" s="43"/>
      <c r="W49" s="43"/>
      <c r="X49" s="72"/>
      <c r="Y49" s="79"/>
    </row>
    <row r="50" spans="2:25" x14ac:dyDescent="0.2">
      <c r="B50" s="2" t="s">
        <v>65</v>
      </c>
      <c r="C50" s="75">
        <f>+C48+C23+C20</f>
        <v>2277033</v>
      </c>
      <c r="D50" s="26"/>
      <c r="E50" s="25">
        <f>+E20+E23+E48</f>
        <v>2534341.1</v>
      </c>
      <c r="F50" s="26"/>
      <c r="G50" s="75">
        <f>+G48+G23+G20</f>
        <v>2508026</v>
      </c>
      <c r="H50" s="43"/>
      <c r="I50" s="75">
        <f>+I48+I23+I20</f>
        <v>2840824</v>
      </c>
      <c r="J50" s="43"/>
      <c r="K50" s="323">
        <f t="shared" ref="K50" si="8">+(I50-G50)/G50</f>
        <v>0.13269320174511748</v>
      </c>
      <c r="M50" s="2" t="s">
        <v>65</v>
      </c>
      <c r="N50" s="142">
        <f>+N48+N23+N20</f>
        <v>366158</v>
      </c>
      <c r="O50" s="75">
        <f t="shared" ref="O50:W50" si="9">+O48+O23+O20</f>
        <v>249097</v>
      </c>
      <c r="P50" s="75">
        <f t="shared" si="9"/>
        <v>297184</v>
      </c>
      <c r="Q50" s="75">
        <f t="shared" si="9"/>
        <v>561616</v>
      </c>
      <c r="R50" s="75">
        <f t="shared" si="9"/>
        <v>191729</v>
      </c>
      <c r="S50" s="75">
        <f t="shared" si="9"/>
        <v>39239</v>
      </c>
      <c r="T50" s="75">
        <f t="shared" si="9"/>
        <v>190997</v>
      </c>
      <c r="U50" s="75">
        <f t="shared" si="9"/>
        <v>429519</v>
      </c>
      <c r="V50" s="75">
        <f>+V48+V23+V20</f>
        <v>162934</v>
      </c>
      <c r="W50" s="75">
        <f t="shared" si="9"/>
        <v>352350</v>
      </c>
      <c r="X50" s="72"/>
      <c r="Y50" s="79"/>
    </row>
    <row r="51" spans="2:25" x14ac:dyDescent="0.2">
      <c r="C51" s="53"/>
      <c r="D51" s="53"/>
      <c r="E51" s="53"/>
      <c r="F51" s="53"/>
      <c r="G51" s="87"/>
      <c r="H51" s="87"/>
      <c r="I51" s="43"/>
      <c r="J51" s="43"/>
      <c r="N51" s="87"/>
      <c r="O51" s="88"/>
      <c r="P51" s="88"/>
      <c r="Q51" s="88"/>
      <c r="R51" s="88"/>
      <c r="S51" s="88"/>
      <c r="T51" s="88"/>
      <c r="U51" s="88"/>
      <c r="V51" s="88"/>
      <c r="W51" s="88"/>
      <c r="X51" s="72"/>
      <c r="Y51" s="79"/>
    </row>
    <row r="52" spans="2:25" hidden="1" x14ac:dyDescent="0.2">
      <c r="B52" s="2" t="s">
        <v>34</v>
      </c>
      <c r="C52" s="53">
        <v>0</v>
      </c>
      <c r="D52" s="53"/>
      <c r="E52" s="53"/>
      <c r="F52" s="53"/>
      <c r="G52" s="87">
        <v>0</v>
      </c>
      <c r="H52" s="87"/>
      <c r="I52" s="43">
        <v>0</v>
      </c>
      <c r="J52" s="43"/>
      <c r="M52" s="2" t="s">
        <v>34</v>
      </c>
      <c r="N52" s="87">
        <v>0</v>
      </c>
      <c r="O52" s="88"/>
      <c r="P52" s="88"/>
      <c r="Q52" s="88"/>
      <c r="R52" s="88"/>
      <c r="S52" s="88"/>
      <c r="T52" s="88"/>
      <c r="U52" s="88"/>
      <c r="V52" s="88"/>
      <c r="W52" s="88"/>
      <c r="X52" s="72"/>
      <c r="Y52" s="79"/>
    </row>
    <row r="53" spans="2:25" hidden="1" x14ac:dyDescent="0.2">
      <c r="C53" s="53"/>
      <c r="D53" s="53"/>
      <c r="E53" s="53"/>
      <c r="F53" s="53"/>
      <c r="G53" s="87"/>
      <c r="H53" s="87"/>
      <c r="I53" s="43"/>
      <c r="J53" s="43"/>
      <c r="N53" s="87"/>
      <c r="O53" s="88"/>
      <c r="P53" s="88"/>
      <c r="Q53" s="88"/>
      <c r="R53" s="88"/>
      <c r="S53" s="88"/>
      <c r="T53" s="88"/>
      <c r="U53" s="88"/>
      <c r="V53" s="88"/>
      <c r="W53" s="88"/>
      <c r="X53" s="72"/>
      <c r="Y53" s="79"/>
    </row>
    <row r="54" spans="2:25" ht="13.5" thickBot="1" x14ac:dyDescent="0.25">
      <c r="B54" s="30" t="s">
        <v>46</v>
      </c>
      <c r="C54" s="224">
        <f>SUM(C13+C52-C20-C23-C48)</f>
        <v>422</v>
      </c>
      <c r="D54" s="26"/>
      <c r="E54" s="223">
        <f>+E13-E50</f>
        <v>119735.82999999961</v>
      </c>
      <c r="F54" s="26"/>
      <c r="G54" s="224">
        <f>SUM(G13+G52-G20-G23-G48)</f>
        <v>51689</v>
      </c>
      <c r="H54" s="43"/>
      <c r="I54" s="224">
        <f>SUM(I13+I52-I20-I23-I48)</f>
        <v>9431</v>
      </c>
      <c r="J54" s="43"/>
      <c r="K54" s="324">
        <f t="shared" ref="K54" si="10">+(I54-G54)/G54</f>
        <v>-0.81754338447251829</v>
      </c>
      <c r="M54" s="2" t="s">
        <v>52</v>
      </c>
      <c r="N54" s="143">
        <f>SUM(N13+N52-N20-N23-N48)</f>
        <v>-242918</v>
      </c>
      <c r="O54" s="144">
        <f t="shared" ref="O54:W54" si="11">SUM(O13-O20-O23-O48)</f>
        <v>50903</v>
      </c>
      <c r="P54" s="144">
        <f t="shared" si="11"/>
        <v>-7184</v>
      </c>
      <c r="Q54" s="144">
        <f t="shared" si="11"/>
        <v>134769</v>
      </c>
      <c r="R54" s="144">
        <f t="shared" si="11"/>
        <v>11271</v>
      </c>
      <c r="S54" s="144">
        <f t="shared" si="11"/>
        <v>-1609</v>
      </c>
      <c r="T54" s="144">
        <f t="shared" si="11"/>
        <v>9003</v>
      </c>
      <c r="U54" s="144">
        <f t="shared" si="11"/>
        <v>10481</v>
      </c>
      <c r="V54" s="144">
        <f t="shared" si="11"/>
        <v>2066</v>
      </c>
      <c r="W54" s="144">
        <f t="shared" si="11"/>
        <v>42650</v>
      </c>
      <c r="X54" s="72"/>
      <c r="Y54" s="79"/>
    </row>
    <row r="55" spans="2:25" ht="13.5" thickTop="1" x14ac:dyDescent="0.2">
      <c r="C55" s="2"/>
      <c r="D55" s="2"/>
      <c r="E55" s="2"/>
      <c r="F55" s="2"/>
      <c r="G55" s="88"/>
      <c r="H55" s="88"/>
      <c r="I55" s="43"/>
      <c r="J55" s="43"/>
      <c r="K55" s="88"/>
      <c r="O55" s="11"/>
      <c r="P55" s="11"/>
      <c r="Q55" s="26"/>
      <c r="R55" s="11"/>
      <c r="S55" s="11"/>
      <c r="T55" s="11"/>
      <c r="U55" s="11"/>
      <c r="V55" s="11"/>
    </row>
    <row r="56" spans="2:25" x14ac:dyDescent="0.2">
      <c r="C56" s="2"/>
      <c r="D56" s="2"/>
      <c r="E56" s="2"/>
      <c r="F56" s="2"/>
      <c r="G56" s="32"/>
      <c r="H56" s="32"/>
      <c r="I56" s="32"/>
      <c r="J56" s="32"/>
      <c r="O56" s="11"/>
      <c r="P56" s="11"/>
      <c r="Q56" s="26"/>
      <c r="R56" s="11"/>
      <c r="S56" s="11"/>
      <c r="T56" s="11"/>
      <c r="U56" s="11"/>
      <c r="V56" s="11"/>
    </row>
    <row r="57" spans="2:25" x14ac:dyDescent="0.2">
      <c r="M57" s="12"/>
      <c r="N57" s="12"/>
      <c r="O57" s="20"/>
      <c r="P57" s="20"/>
      <c r="Q57" s="51"/>
      <c r="R57" s="20"/>
      <c r="S57" s="20"/>
      <c r="T57" s="20"/>
      <c r="U57" s="20"/>
      <c r="V57" s="20"/>
    </row>
    <row r="58" spans="2:25" x14ac:dyDescent="0.2">
      <c r="M58" s="12"/>
      <c r="N58" s="12"/>
      <c r="O58" s="20"/>
      <c r="P58" s="20"/>
      <c r="Q58" s="51"/>
      <c r="R58" s="20"/>
      <c r="S58" s="20"/>
      <c r="T58" s="20"/>
      <c r="U58" s="20"/>
      <c r="V58" s="20"/>
    </row>
  </sheetData>
  <mergeCells count="1">
    <mergeCell ref="A1:K1"/>
  </mergeCells>
  <phoneticPr fontId="0" type="noConversion"/>
  <pageMargins left="0" right="0" top="0" bottom="0" header="0" footer="0"/>
  <pageSetup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zoomScaleNormal="100" workbookViewId="0">
      <selection activeCell="E15" sqref="E15"/>
    </sheetView>
  </sheetViews>
  <sheetFormatPr defaultColWidth="10" defaultRowHeight="12.75" x14ac:dyDescent="0.2"/>
  <cols>
    <col min="1" max="1" width="6.140625" style="30" customWidth="1"/>
    <col min="2" max="2" width="36.42578125" style="30" customWidth="1"/>
    <col min="3" max="3" width="18.140625" style="33" customWidth="1"/>
    <col min="4" max="4" width="2.28515625" style="33" customWidth="1"/>
    <col min="5" max="5" width="17.42578125" style="33" customWidth="1"/>
    <col min="6" max="6" width="2.28515625" style="33" customWidth="1"/>
    <col min="7" max="7" width="14.85546875" style="33" customWidth="1"/>
    <col min="8" max="8" width="2.28515625" style="33" customWidth="1"/>
    <col min="9" max="9" width="14.85546875" style="33" customWidth="1"/>
    <col min="10" max="10" width="2.28515625" style="30" customWidth="1"/>
    <col min="11" max="11" width="13.140625" style="30" customWidth="1"/>
    <col min="12" max="16384" width="10" style="30"/>
  </cols>
  <sheetData>
    <row r="1" spans="1:11" x14ac:dyDescent="0.2">
      <c r="A1" s="326" t="s">
        <v>196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1" x14ac:dyDescent="0.2">
      <c r="A2" s="150"/>
      <c r="B2" s="150"/>
      <c r="C2" s="150"/>
      <c r="D2" s="150"/>
      <c r="E2" s="150"/>
      <c r="F2" s="150"/>
      <c r="G2" s="150"/>
      <c r="H2" s="150"/>
      <c r="I2" s="150"/>
    </row>
    <row r="3" spans="1:11" x14ac:dyDescent="0.2">
      <c r="C3" s="42" t="str">
        <f>cover!C6</f>
        <v>APPROVED</v>
      </c>
      <c r="D3" s="42"/>
      <c r="E3" s="42" t="str">
        <f>cover!E6</f>
        <v xml:space="preserve"> </v>
      </c>
      <c r="F3" s="42"/>
      <c r="G3" s="42" t="str">
        <f>cover!G6</f>
        <v>APPROVED</v>
      </c>
      <c r="H3" s="42"/>
      <c r="I3" s="42" t="str">
        <f>cover!I6</f>
        <v>REQUESTED</v>
      </c>
      <c r="K3" s="42" t="str">
        <f>cover!K6</f>
        <v>PERCENT</v>
      </c>
    </row>
    <row r="4" spans="1:11" x14ac:dyDescent="0.2">
      <c r="C4" s="42" t="str">
        <f>cover!C7</f>
        <v>BUDGET</v>
      </c>
      <c r="D4" s="42"/>
      <c r="E4" s="42" t="str">
        <f>cover!E7</f>
        <v>ACTUAL</v>
      </c>
      <c r="F4" s="42"/>
      <c r="G4" s="42" t="str">
        <f>cover!G7</f>
        <v>BUDGET</v>
      </c>
      <c r="H4" s="42"/>
      <c r="I4" s="42" t="str">
        <f>cover!I7</f>
        <v>BUDGET</v>
      </c>
      <c r="K4" s="42" t="str">
        <f>cover!K7</f>
        <v>CHANGE</v>
      </c>
    </row>
    <row r="5" spans="1:11" x14ac:dyDescent="0.2">
      <c r="A5" s="158"/>
      <c r="B5" s="158"/>
      <c r="C5" s="292" t="str">
        <f>cover!C8</f>
        <v>2010-11</v>
      </c>
      <c r="D5" s="292"/>
      <c r="E5" s="292" t="str">
        <f>cover!E8</f>
        <v>2010-11</v>
      </c>
      <c r="F5" s="292"/>
      <c r="G5" s="292" t="str">
        <f>cover!G8</f>
        <v>2011 -12</v>
      </c>
      <c r="H5" s="292"/>
      <c r="I5" s="292" t="str">
        <f>cover!I8</f>
        <v>2012 -13</v>
      </c>
      <c r="J5" s="158"/>
      <c r="K5" s="292" t="str">
        <f>cover!K8</f>
        <v>FY12/FY13</v>
      </c>
    </row>
    <row r="6" spans="1:11" x14ac:dyDescent="0.2">
      <c r="A6" s="30" t="s">
        <v>19</v>
      </c>
    </row>
    <row r="7" spans="1:11" x14ac:dyDescent="0.2">
      <c r="B7" s="2" t="s">
        <v>173</v>
      </c>
      <c r="C7" s="69">
        <f>50534-422</f>
        <v>50112</v>
      </c>
      <c r="D7" s="84"/>
      <c r="E7" s="84">
        <v>22762.91</v>
      </c>
      <c r="F7" s="84"/>
      <c r="G7" s="71">
        <v>16100</v>
      </c>
      <c r="H7" s="69"/>
      <c r="I7" s="71">
        <v>16100</v>
      </c>
      <c r="K7" s="236">
        <f>+(I7-G7)/G7</f>
        <v>0</v>
      </c>
    </row>
    <row r="8" spans="1:11" x14ac:dyDescent="0.2">
      <c r="B8" s="2" t="s">
        <v>411</v>
      </c>
      <c r="C8" s="71">
        <v>0</v>
      </c>
      <c r="D8" s="84"/>
      <c r="E8" s="84">
        <v>0</v>
      </c>
      <c r="F8" s="84"/>
      <c r="G8" s="71">
        <v>0</v>
      </c>
      <c r="H8" s="69"/>
      <c r="I8" s="71">
        <v>26452</v>
      </c>
      <c r="K8" s="236">
        <v>1</v>
      </c>
    </row>
    <row r="9" spans="1:11" x14ac:dyDescent="0.2">
      <c r="B9" s="13" t="s">
        <v>198</v>
      </c>
      <c r="C9" s="69">
        <f>8029+8970</f>
        <v>16999</v>
      </c>
      <c r="D9" s="84"/>
      <c r="E9" s="84">
        <v>776.22</v>
      </c>
      <c r="F9" s="84"/>
      <c r="G9" s="71">
        <v>2500</v>
      </c>
      <c r="H9" s="69"/>
      <c r="I9" s="71">
        <v>2500</v>
      </c>
      <c r="K9" s="236">
        <f t="shared" ref="K9" si="0">+(I9-G9)/G9</f>
        <v>0</v>
      </c>
    </row>
    <row r="10" spans="1:11" x14ac:dyDescent="0.2">
      <c r="B10" s="64" t="s">
        <v>20</v>
      </c>
      <c r="C10" s="70">
        <f>SUM(C7:C9)</f>
        <v>67111</v>
      </c>
      <c r="E10" s="83">
        <f>SUM(E7:E9)</f>
        <v>23539.13</v>
      </c>
      <c r="G10" s="70">
        <f>SUM(G7:G9)</f>
        <v>18600</v>
      </c>
      <c r="H10" s="68"/>
      <c r="I10" s="70">
        <f>SUM(I7:I9)</f>
        <v>45052</v>
      </c>
      <c r="K10" s="237">
        <f>+(I10-G10)/G10</f>
        <v>1.4221505376344086</v>
      </c>
    </row>
    <row r="11" spans="1:11" x14ac:dyDescent="0.2">
      <c r="G11" s="68"/>
      <c r="H11" s="68"/>
      <c r="I11" s="68"/>
    </row>
    <row r="12" spans="1:11" x14ac:dyDescent="0.2">
      <c r="A12" s="30" t="s">
        <v>37</v>
      </c>
      <c r="G12" s="68"/>
      <c r="H12" s="68"/>
      <c r="I12" s="68"/>
    </row>
    <row r="13" spans="1:11" x14ac:dyDescent="0.2">
      <c r="B13" s="2" t="s">
        <v>174</v>
      </c>
      <c r="C13" s="71">
        <v>183927</v>
      </c>
      <c r="D13" s="120"/>
      <c r="E13" s="120">
        <v>134897.07</v>
      </c>
      <c r="F13" s="120"/>
      <c r="G13" s="71">
        <v>137889</v>
      </c>
      <c r="H13" s="71"/>
      <c r="I13" s="71">
        <v>126757.58</v>
      </c>
      <c r="K13" s="236">
        <f>+(I13-G13)/G13</f>
        <v>-8.0727396674136434E-2</v>
      </c>
    </row>
    <row r="14" spans="1:11" x14ac:dyDescent="0.2">
      <c r="B14" s="2" t="s">
        <v>176</v>
      </c>
      <c r="C14" s="71">
        <v>109925</v>
      </c>
      <c r="D14" s="120"/>
      <c r="E14" s="120">
        <v>31412</v>
      </c>
      <c r="F14" s="120"/>
      <c r="G14" s="71">
        <v>56645</v>
      </c>
      <c r="H14" s="71"/>
      <c r="I14" s="71">
        <v>54163.98</v>
      </c>
      <c r="K14" s="236">
        <f>+(I14-G14)/G14</f>
        <v>-4.3799452731926855E-2</v>
      </c>
    </row>
    <row r="15" spans="1:11" ht="13.5" customHeight="1" x14ac:dyDescent="0.2">
      <c r="B15" s="2" t="s">
        <v>172</v>
      </c>
      <c r="C15" s="71">
        <v>44885</v>
      </c>
      <c r="D15" s="120"/>
      <c r="E15" s="120">
        <v>28455.15</v>
      </c>
      <c r="F15" s="120"/>
      <c r="G15" s="71">
        <f>33424-27031-6393</f>
        <v>0</v>
      </c>
      <c r="H15" s="71"/>
      <c r="I15" s="71">
        <v>13257</v>
      </c>
      <c r="K15" s="236">
        <v>1</v>
      </c>
    </row>
    <row r="16" spans="1:11" ht="13.5" customHeight="1" x14ac:dyDescent="0.2">
      <c r="B16" s="2" t="s">
        <v>104</v>
      </c>
      <c r="C16" s="71"/>
      <c r="G16" s="71"/>
      <c r="H16" s="71"/>
      <c r="I16" s="71"/>
    </row>
    <row r="17" spans="1:11" x14ac:dyDescent="0.2">
      <c r="B17" s="31" t="s">
        <v>23</v>
      </c>
      <c r="C17" s="70">
        <f>SUM(C13:C16)</f>
        <v>338737</v>
      </c>
      <c r="E17" s="83">
        <f>SUM(E13:E16)</f>
        <v>194764.22</v>
      </c>
      <c r="G17" s="70">
        <f>SUM(G13:G16)</f>
        <v>194534</v>
      </c>
      <c r="H17" s="68"/>
      <c r="I17" s="70">
        <f>SUM(I13:I16)</f>
        <v>194178.56</v>
      </c>
      <c r="K17" s="237">
        <f>+(I17-G17)/G17</f>
        <v>-1.8271356163961174E-3</v>
      </c>
    </row>
    <row r="18" spans="1:11" x14ac:dyDescent="0.2">
      <c r="A18" s="30" t="s">
        <v>24</v>
      </c>
      <c r="G18" s="68"/>
      <c r="H18" s="68"/>
      <c r="I18" s="68"/>
    </row>
    <row r="19" spans="1:11" x14ac:dyDescent="0.2">
      <c r="B19" s="2" t="s">
        <v>175</v>
      </c>
      <c r="C19" s="68">
        <f>99029+74202+1347</f>
        <v>174578</v>
      </c>
      <c r="E19" s="33">
        <v>59201.03</v>
      </c>
      <c r="G19" s="68">
        <f>15925+77077</f>
        <v>93002</v>
      </c>
      <c r="H19" s="68"/>
      <c r="I19" s="68">
        <f>13749.12+15490.9+28055.4+36149.71+397</f>
        <v>93842.13</v>
      </c>
      <c r="K19" s="236">
        <f>+(I19-G19)/G19</f>
        <v>9.0334616459861582E-3</v>
      </c>
    </row>
    <row r="20" spans="1:11" x14ac:dyDescent="0.2">
      <c r="B20" s="12" t="s">
        <v>38</v>
      </c>
      <c r="C20" s="70">
        <f>SUM(C19:C19)</f>
        <v>174578</v>
      </c>
      <c r="E20" s="83">
        <f>SUM(E19:E19)</f>
        <v>59201.03</v>
      </c>
      <c r="G20" s="70">
        <f>SUM(G19:G19)</f>
        <v>93002</v>
      </c>
      <c r="H20" s="68"/>
      <c r="I20" s="70">
        <f>SUM(I19:I19)</f>
        <v>93842.13</v>
      </c>
      <c r="K20" s="237">
        <f>+(I20-G20)/G20</f>
        <v>9.0334616459861582E-3</v>
      </c>
    </row>
    <row r="21" spans="1:11" x14ac:dyDescent="0.2">
      <c r="G21" s="68"/>
      <c r="H21" s="68"/>
      <c r="I21" s="68"/>
    </row>
    <row r="22" spans="1:11" x14ac:dyDescent="0.2">
      <c r="A22" s="30" t="s">
        <v>27</v>
      </c>
      <c r="G22" s="68"/>
      <c r="H22" s="68"/>
      <c r="I22" s="68"/>
    </row>
    <row r="23" spans="1:11" x14ac:dyDescent="0.2">
      <c r="B23" s="13" t="s">
        <v>177</v>
      </c>
      <c r="C23" s="71">
        <v>8247</v>
      </c>
      <c r="D23" s="115"/>
      <c r="E23" s="115">
        <v>7765.4</v>
      </c>
      <c r="F23" s="115"/>
      <c r="G23" s="71">
        <v>6412</v>
      </c>
      <c r="H23" s="71"/>
      <c r="I23" s="71">
        <v>7765</v>
      </c>
      <c r="K23" s="236">
        <f t="shared" ref="K23:K26" si="1">+(I23-G23)/G23</f>
        <v>0.21101060511540862</v>
      </c>
    </row>
    <row r="24" spans="1:11" x14ac:dyDescent="0.2">
      <c r="B24" s="13" t="s">
        <v>178</v>
      </c>
      <c r="C24" s="71">
        <v>1050</v>
      </c>
      <c r="D24" s="115"/>
      <c r="E24" s="115">
        <v>299</v>
      </c>
      <c r="F24" s="115"/>
      <c r="G24" s="71">
        <v>1071</v>
      </c>
      <c r="H24" s="71"/>
      <c r="I24" s="71">
        <v>500</v>
      </c>
      <c r="K24" s="236">
        <f t="shared" si="1"/>
        <v>-0.53314659197012138</v>
      </c>
    </row>
    <row r="25" spans="1:11" x14ac:dyDescent="0.2">
      <c r="B25" s="2" t="s">
        <v>179</v>
      </c>
      <c r="C25" s="71">
        <v>12780</v>
      </c>
      <c r="D25" s="115"/>
      <c r="E25" s="115">
        <v>6543.16</v>
      </c>
      <c r="F25" s="115"/>
      <c r="G25" s="71">
        <v>10576</v>
      </c>
      <c r="H25" s="71"/>
      <c r="I25" s="71">
        <v>6543</v>
      </c>
      <c r="K25" s="236">
        <f t="shared" si="1"/>
        <v>-0.38133509833585477</v>
      </c>
    </row>
    <row r="26" spans="1:11" x14ac:dyDescent="0.2">
      <c r="B26" s="2" t="s">
        <v>180</v>
      </c>
      <c r="C26" s="71">
        <v>385</v>
      </c>
      <c r="D26" s="115"/>
      <c r="E26" s="115">
        <v>366.32</v>
      </c>
      <c r="F26" s="115"/>
      <c r="G26" s="71">
        <v>385</v>
      </c>
      <c r="H26" s="71"/>
      <c r="I26" s="71">
        <v>385</v>
      </c>
      <c r="K26" s="236">
        <f t="shared" si="1"/>
        <v>0</v>
      </c>
    </row>
    <row r="27" spans="1:11" x14ac:dyDescent="0.2">
      <c r="B27" s="2" t="s">
        <v>181</v>
      </c>
      <c r="C27" s="68">
        <v>0</v>
      </c>
      <c r="E27" s="33">
        <v>653.85</v>
      </c>
      <c r="G27" s="68">
        <v>0</v>
      </c>
      <c r="H27" s="71"/>
      <c r="I27" s="71">
        <v>654</v>
      </c>
      <c r="K27" s="236">
        <v>1</v>
      </c>
    </row>
    <row r="28" spans="1:11" x14ac:dyDescent="0.2">
      <c r="B28" s="13" t="s">
        <v>188</v>
      </c>
      <c r="C28" s="71">
        <v>2225</v>
      </c>
      <c r="D28" s="115"/>
      <c r="E28" s="115">
        <v>0</v>
      </c>
      <c r="F28" s="115"/>
      <c r="G28" s="71">
        <f>2225-612</f>
        <v>1613</v>
      </c>
      <c r="H28" s="71"/>
      <c r="I28" s="71">
        <v>0</v>
      </c>
      <c r="K28" s="236">
        <v>-1</v>
      </c>
    </row>
    <row r="29" spans="1:11" x14ac:dyDescent="0.2">
      <c r="B29" s="13" t="s">
        <v>182</v>
      </c>
      <c r="C29" s="71">
        <v>6175</v>
      </c>
      <c r="D29" s="115"/>
      <c r="E29" s="115">
        <v>4581.66</v>
      </c>
      <c r="F29" s="115"/>
      <c r="G29" s="71">
        <v>4299</v>
      </c>
      <c r="H29" s="71"/>
      <c r="I29" s="71">
        <v>4582</v>
      </c>
      <c r="K29" s="236">
        <f t="shared" ref="K29:K31" si="2">+(I29-G29)/G29</f>
        <v>6.5829262619213777E-2</v>
      </c>
    </row>
    <row r="30" spans="1:11" x14ac:dyDescent="0.2">
      <c r="B30" s="13" t="s">
        <v>183</v>
      </c>
      <c r="C30" s="71">
        <v>950</v>
      </c>
      <c r="D30" s="115"/>
      <c r="E30" s="115">
        <v>2020.99</v>
      </c>
      <c r="F30" s="115"/>
      <c r="G30" s="71">
        <v>969</v>
      </c>
      <c r="H30" s="71"/>
      <c r="I30" s="71">
        <v>2020</v>
      </c>
      <c r="K30" s="236">
        <f t="shared" si="2"/>
        <v>1.0846233230134159</v>
      </c>
    </row>
    <row r="31" spans="1:11" x14ac:dyDescent="0.2">
      <c r="B31" s="13" t="s">
        <v>184</v>
      </c>
      <c r="C31" s="71">
        <v>2450</v>
      </c>
      <c r="D31" s="115"/>
      <c r="E31" s="115">
        <v>3149.6</v>
      </c>
      <c r="F31" s="115"/>
      <c r="G31" s="71">
        <v>2499</v>
      </c>
      <c r="H31" s="71"/>
      <c r="I31" s="71">
        <v>2549</v>
      </c>
      <c r="K31" s="236">
        <f t="shared" si="2"/>
        <v>2.0008003201280513E-2</v>
      </c>
    </row>
    <row r="32" spans="1:11" x14ac:dyDescent="0.2">
      <c r="B32" s="13" t="s">
        <v>120</v>
      </c>
      <c r="C32" s="71"/>
      <c r="D32" s="115"/>
      <c r="E32" s="115"/>
      <c r="F32" s="115"/>
      <c r="G32" s="71"/>
      <c r="H32" s="71"/>
      <c r="I32" s="71"/>
      <c r="K32" s="236"/>
    </row>
    <row r="33" spans="2:11" x14ac:dyDescent="0.2">
      <c r="B33" s="2" t="s">
        <v>189</v>
      </c>
      <c r="C33" s="71">
        <v>15497</v>
      </c>
      <c r="D33" s="115"/>
      <c r="E33" s="115">
        <v>8732.7199999999993</v>
      </c>
      <c r="F33" s="115"/>
      <c r="G33" s="71">
        <v>14387</v>
      </c>
      <c r="H33" s="71"/>
      <c r="I33" s="71">
        <v>20042</v>
      </c>
      <c r="K33" s="236">
        <f t="shared" ref="K33:K35" si="3">+(I33-G33)/G33</f>
        <v>0.3930631820393411</v>
      </c>
    </row>
    <row r="34" spans="2:11" x14ac:dyDescent="0.2">
      <c r="B34" s="13" t="s">
        <v>190</v>
      </c>
      <c r="C34" s="71">
        <v>3936</v>
      </c>
      <c r="D34" s="115"/>
      <c r="E34" s="115">
        <v>1545.52</v>
      </c>
      <c r="F34" s="115"/>
      <c r="G34" s="71">
        <v>2103</v>
      </c>
      <c r="H34" s="71"/>
      <c r="I34" s="71">
        <v>1629</v>
      </c>
      <c r="K34" s="236">
        <f t="shared" si="3"/>
        <v>-0.2253922967189729</v>
      </c>
    </row>
    <row r="35" spans="2:11" x14ac:dyDescent="0.2">
      <c r="B35" s="13" t="s">
        <v>191</v>
      </c>
      <c r="C35" s="71">
        <v>28806</v>
      </c>
      <c r="D35" s="115"/>
      <c r="E35" s="115">
        <v>27769.49</v>
      </c>
      <c r="F35" s="115"/>
      <c r="G35" s="71">
        <v>31579</v>
      </c>
      <c r="H35" s="71"/>
      <c r="I35" s="71">
        <v>26452</v>
      </c>
      <c r="K35" s="236">
        <f t="shared" si="3"/>
        <v>-0.16235472940878432</v>
      </c>
    </row>
    <row r="36" spans="2:11" x14ac:dyDescent="0.2">
      <c r="B36" s="13" t="s">
        <v>192</v>
      </c>
      <c r="C36" s="71">
        <v>23079</v>
      </c>
      <c r="D36" s="115"/>
      <c r="E36" s="115">
        <v>36004.32</v>
      </c>
      <c r="F36" s="115"/>
      <c r="G36" s="71">
        <v>36004</v>
      </c>
      <c r="H36" s="71"/>
      <c r="I36" s="71">
        <v>38165</v>
      </c>
      <c r="K36" s="236">
        <f t="shared" ref="K36:K39" si="4">+(I36-G36)/G36</f>
        <v>6.00211087656927E-2</v>
      </c>
    </row>
    <row r="37" spans="2:11" x14ac:dyDescent="0.2">
      <c r="B37" s="13" t="s">
        <v>193</v>
      </c>
      <c r="C37" s="71">
        <v>7601</v>
      </c>
      <c r="D37" s="115"/>
      <c r="E37" s="115">
        <v>4205.5</v>
      </c>
      <c r="F37" s="115"/>
      <c r="G37" s="71">
        <v>7601</v>
      </c>
      <c r="H37" s="71"/>
      <c r="I37" s="71">
        <v>4206</v>
      </c>
      <c r="K37" s="236">
        <f t="shared" si="4"/>
        <v>-0.44665175634784898</v>
      </c>
    </row>
    <row r="38" spans="2:11" x14ac:dyDescent="0.2">
      <c r="B38" s="13" t="s">
        <v>194</v>
      </c>
      <c r="C38" s="71">
        <v>23077</v>
      </c>
      <c r="D38" s="115"/>
      <c r="E38" s="115">
        <v>6506.24</v>
      </c>
      <c r="F38" s="115"/>
      <c r="G38" s="71">
        <f>23077+1385</f>
        <v>24462</v>
      </c>
      <c r="H38" s="71"/>
      <c r="I38" s="71">
        <v>7176</v>
      </c>
      <c r="K38" s="236">
        <f t="shared" si="4"/>
        <v>-0.70664704439538872</v>
      </c>
    </row>
    <row r="39" spans="2:11" x14ac:dyDescent="0.2">
      <c r="B39" s="13" t="s">
        <v>195</v>
      </c>
      <c r="C39" s="71">
        <v>168813</v>
      </c>
      <c r="D39" s="115"/>
      <c r="E39" s="115">
        <v>329895.76</v>
      </c>
      <c r="F39" s="115"/>
      <c r="G39" s="71">
        <v>168813</v>
      </c>
      <c r="H39" s="71"/>
      <c r="I39" s="71">
        <v>145477</v>
      </c>
      <c r="K39" s="236">
        <f t="shared" si="4"/>
        <v>-0.13823579937564051</v>
      </c>
    </row>
    <row r="40" spans="2:11" x14ac:dyDescent="0.2">
      <c r="B40" s="2" t="s">
        <v>185</v>
      </c>
      <c r="C40" s="71">
        <v>7245</v>
      </c>
      <c r="D40" s="115"/>
      <c r="E40" s="115">
        <v>8988.83</v>
      </c>
      <c r="F40" s="115"/>
      <c r="G40" s="71">
        <v>7245</v>
      </c>
      <c r="H40" s="71"/>
      <c r="I40" s="71">
        <v>9000</v>
      </c>
      <c r="K40" s="236">
        <f t="shared" ref="K40:K42" si="5">+(I40-G40)/G40</f>
        <v>0.24223602484472051</v>
      </c>
    </row>
    <row r="41" spans="2:11" x14ac:dyDescent="0.2">
      <c r="B41" s="2" t="s">
        <v>186</v>
      </c>
      <c r="C41" s="71">
        <v>475</v>
      </c>
      <c r="D41" s="115"/>
      <c r="E41" s="115">
        <v>1350.02</v>
      </c>
      <c r="F41" s="115"/>
      <c r="G41" s="71">
        <v>484</v>
      </c>
      <c r="H41" s="71"/>
      <c r="I41" s="71">
        <v>1350</v>
      </c>
      <c r="K41" s="236">
        <f t="shared" si="5"/>
        <v>1.7892561983471074</v>
      </c>
    </row>
    <row r="42" spans="2:11" x14ac:dyDescent="0.2">
      <c r="B42" s="2" t="s">
        <v>187</v>
      </c>
      <c r="C42" s="71">
        <v>11275</v>
      </c>
      <c r="D42" s="115"/>
      <c r="E42" s="115">
        <v>17549.310000000001</v>
      </c>
      <c r="F42" s="115"/>
      <c r="G42" s="71">
        <v>11501</v>
      </c>
      <c r="H42" s="71"/>
      <c r="I42" s="71">
        <v>18000</v>
      </c>
      <c r="K42" s="236">
        <f t="shared" si="5"/>
        <v>0.56508129727849754</v>
      </c>
    </row>
    <row r="43" spans="2:11" x14ac:dyDescent="0.2">
      <c r="B43" s="12" t="s">
        <v>76</v>
      </c>
      <c r="C43" s="70">
        <f>SUM(C23:C42)</f>
        <v>324066</v>
      </c>
      <c r="E43" s="83">
        <f>SUM(E23:E42)</f>
        <v>467927.69000000006</v>
      </c>
      <c r="G43" s="70">
        <f>SUM(G23:G42)</f>
        <v>332003</v>
      </c>
      <c r="H43" s="68"/>
      <c r="I43" s="70">
        <f>SUM(I23:I42)</f>
        <v>296495</v>
      </c>
      <c r="K43" s="237">
        <f>+(I43-G43)/G43</f>
        <v>-0.10695084080565537</v>
      </c>
    </row>
    <row r="44" spans="2:11" x14ac:dyDescent="0.2">
      <c r="G44" s="68"/>
      <c r="H44" s="68"/>
      <c r="I44" s="68"/>
      <c r="K44" s="236"/>
    </row>
    <row r="45" spans="2:11" x14ac:dyDescent="0.2">
      <c r="B45" s="30" t="s">
        <v>33</v>
      </c>
      <c r="C45" s="67">
        <f>SUM(C43+C20+C17)</f>
        <v>837381</v>
      </c>
      <c r="E45" s="81">
        <f>SUM(E43+E20+E17)</f>
        <v>721892.94000000006</v>
      </c>
      <c r="G45" s="67">
        <f>SUM(G43+G20+G17)</f>
        <v>619539</v>
      </c>
      <c r="H45" s="68"/>
      <c r="I45" s="67">
        <f>SUM(I43+I20+I17)</f>
        <v>584515.68999999994</v>
      </c>
      <c r="K45" s="238">
        <f t="shared" ref="K45" si="6">+(I45-G45)/G45</f>
        <v>-5.6531243392264341E-2</v>
      </c>
    </row>
    <row r="46" spans="2:11" x14ac:dyDescent="0.2">
      <c r="G46" s="68"/>
      <c r="H46" s="68"/>
      <c r="I46" s="68"/>
    </row>
    <row r="47" spans="2:11" x14ac:dyDescent="0.2">
      <c r="B47" s="30" t="s">
        <v>34</v>
      </c>
      <c r="C47" s="71">
        <f>+cover!C57</f>
        <v>4372970</v>
      </c>
      <c r="D47" s="115"/>
      <c r="E47" s="120">
        <f>+cover!E57</f>
        <v>4372970</v>
      </c>
      <c r="F47" s="115"/>
      <c r="G47" s="71">
        <f>cover!G57</f>
        <v>4119622</v>
      </c>
      <c r="H47" s="71"/>
      <c r="I47" s="71">
        <f>cover!I57</f>
        <v>4440748</v>
      </c>
      <c r="K47" s="236">
        <f t="shared" ref="K47:K51" si="7">+(I47-G47)/G47</f>
        <v>7.7950355639425165E-2</v>
      </c>
    </row>
    <row r="48" spans="2:11" x14ac:dyDescent="0.2">
      <c r="B48" s="30" t="s">
        <v>19</v>
      </c>
      <c r="C48" s="68">
        <f>+C10</f>
        <v>67111</v>
      </c>
      <c r="E48" s="82">
        <f>+E10</f>
        <v>23539.13</v>
      </c>
      <c r="G48" s="68">
        <f>+G10</f>
        <v>18600</v>
      </c>
      <c r="H48" s="68"/>
      <c r="I48" s="68">
        <f>+I10</f>
        <v>45052</v>
      </c>
      <c r="K48" s="236">
        <f t="shared" si="7"/>
        <v>1.4221505376344086</v>
      </c>
    </row>
    <row r="49" spans="2:11" x14ac:dyDescent="0.2">
      <c r="B49" s="31" t="s">
        <v>35</v>
      </c>
      <c r="C49" s="67">
        <f>SUM(C47:C48)</f>
        <v>4440081</v>
      </c>
      <c r="E49" s="81">
        <f>SUM(E47:E48)</f>
        <v>4396509.13</v>
      </c>
      <c r="G49" s="67">
        <f>SUM(G47:G48)</f>
        <v>4138222</v>
      </c>
      <c r="H49" s="68"/>
      <c r="I49" s="67">
        <f>SUM(I47:I48)</f>
        <v>4485800</v>
      </c>
      <c r="K49" s="238">
        <f t="shared" si="7"/>
        <v>8.3992110621421465E-2</v>
      </c>
    </row>
    <row r="50" spans="2:11" x14ac:dyDescent="0.2">
      <c r="G50" s="68"/>
      <c r="H50" s="68"/>
      <c r="I50" s="68"/>
    </row>
    <row r="51" spans="2:11" ht="13.5" thickBot="1" x14ac:dyDescent="0.25">
      <c r="B51" s="30" t="s">
        <v>36</v>
      </c>
      <c r="C51" s="226">
        <f>SUM(C49-C45)</f>
        <v>3602700</v>
      </c>
      <c r="E51" s="227">
        <f>SUM(E49-E45)</f>
        <v>3674616.19</v>
      </c>
      <c r="G51" s="226">
        <f>SUM(G49-G45)</f>
        <v>3518683</v>
      </c>
      <c r="H51" s="68"/>
      <c r="I51" s="226">
        <f>SUM(I49-I45)</f>
        <v>3901284.31</v>
      </c>
      <c r="K51" s="304">
        <f t="shared" si="7"/>
        <v>0.10873423664479012</v>
      </c>
    </row>
    <row r="52" spans="2:11" ht="13.5" thickTop="1" x14ac:dyDescent="0.2">
      <c r="G52" s="68"/>
      <c r="H52" s="68"/>
      <c r="I52" s="68"/>
    </row>
    <row r="53" spans="2:11" x14ac:dyDescent="0.2">
      <c r="B53" s="2"/>
      <c r="C53" s="26"/>
      <c r="D53" s="26"/>
      <c r="E53" s="26"/>
      <c r="F53" s="26"/>
      <c r="G53" s="68"/>
      <c r="H53" s="68"/>
      <c r="I53" s="68"/>
    </row>
    <row r="54" spans="2:11" x14ac:dyDescent="0.2">
      <c r="B54" s="12"/>
      <c r="C54" s="26"/>
      <c r="D54" s="26"/>
      <c r="E54" s="26"/>
      <c r="F54" s="26"/>
      <c r="G54" s="72"/>
      <c r="H54" s="72"/>
      <c r="I54" s="72"/>
      <c r="J54"/>
    </row>
    <row r="55" spans="2:11" x14ac:dyDescent="0.2">
      <c r="B55" s="12"/>
      <c r="C55" s="44"/>
      <c r="D55" s="44"/>
      <c r="E55" s="44"/>
      <c r="F55" s="44"/>
      <c r="G55" s="37"/>
      <c r="H55" s="37"/>
      <c r="I55" s="125"/>
      <c r="J55"/>
    </row>
    <row r="56" spans="2:11" x14ac:dyDescent="0.2">
      <c r="B56" s="37"/>
      <c r="C56" s="37"/>
      <c r="D56" s="37"/>
      <c r="E56" s="37"/>
      <c r="F56" s="37"/>
      <c r="G56" s="37"/>
      <c r="H56" s="37"/>
      <c r="I56" s="37"/>
      <c r="J56"/>
    </row>
  </sheetData>
  <mergeCells count="1">
    <mergeCell ref="A1:K1"/>
  </mergeCells>
  <phoneticPr fontId="0" type="noConversion"/>
  <pageMargins left="0" right="0" top="0" bottom="0" header="0" footer="0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9"/>
  <sheetViews>
    <sheetView zoomScaleNormal="100" workbookViewId="0">
      <selection activeCell="E33" sqref="E33"/>
    </sheetView>
  </sheetViews>
  <sheetFormatPr defaultColWidth="10" defaultRowHeight="12.75" x14ac:dyDescent="0.2"/>
  <cols>
    <col min="1" max="1" width="8.28515625" style="17" customWidth="1"/>
    <col min="2" max="2" width="37.28515625" style="17" bestFit="1" customWidth="1"/>
    <col min="3" max="3" width="17" style="18" customWidth="1"/>
    <col min="4" max="4" width="2.140625" style="18" customWidth="1"/>
    <col min="5" max="5" width="17" style="18" customWidth="1"/>
    <col min="6" max="6" width="2.28515625" style="18" customWidth="1"/>
    <col min="7" max="7" width="15" style="21" customWidth="1"/>
    <col min="8" max="8" width="2.28515625" style="21" customWidth="1"/>
    <col min="9" max="9" width="15" style="21" customWidth="1"/>
    <col min="10" max="10" width="2.28515625" style="17" customWidth="1"/>
    <col min="11" max="11" width="10" style="2"/>
    <col min="12" max="16384" width="10" style="17"/>
  </cols>
  <sheetData>
    <row r="1" spans="1:11" x14ac:dyDescent="0.2">
      <c r="A1" s="326" t="s">
        <v>197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1" x14ac:dyDescent="0.2">
      <c r="A2" s="151"/>
      <c r="B2" s="150"/>
      <c r="C2" s="150"/>
      <c r="D2" s="150"/>
      <c r="E2" s="150"/>
      <c r="F2" s="150"/>
      <c r="G2" s="150"/>
      <c r="H2" s="150"/>
      <c r="I2" s="150"/>
    </row>
    <row r="3" spans="1:11" x14ac:dyDescent="0.2">
      <c r="A3" s="30"/>
      <c r="C3" s="42" t="str">
        <f>cover!C6</f>
        <v>APPROVED</v>
      </c>
      <c r="D3" s="42"/>
      <c r="E3" s="42" t="str">
        <f>cover!E6</f>
        <v xml:space="preserve"> </v>
      </c>
      <c r="F3" s="42"/>
      <c r="G3" s="42" t="str">
        <f>cover!G6</f>
        <v>APPROVED</v>
      </c>
      <c r="H3" s="42"/>
      <c r="I3" s="42" t="str">
        <f>cover!I6</f>
        <v>REQUESTED</v>
      </c>
      <c r="K3" s="126" t="str">
        <f>cover!K6</f>
        <v>PERCENT</v>
      </c>
    </row>
    <row r="4" spans="1:11" x14ac:dyDescent="0.2">
      <c r="A4" s="30"/>
      <c r="B4" s="29"/>
      <c r="C4" s="42" t="str">
        <f>cover!C7</f>
        <v>BUDGET</v>
      </c>
      <c r="D4" s="42"/>
      <c r="E4" s="42" t="str">
        <f>cover!E7</f>
        <v>ACTUAL</v>
      </c>
      <c r="F4" s="42"/>
      <c r="G4" s="42" t="str">
        <f>cover!G7</f>
        <v>BUDGET</v>
      </c>
      <c r="H4" s="42"/>
      <c r="I4" s="42" t="str">
        <f>cover!I7</f>
        <v>BUDGET</v>
      </c>
      <c r="K4" s="126" t="str">
        <f>cover!K7</f>
        <v>CHANGE</v>
      </c>
    </row>
    <row r="5" spans="1:11" x14ac:dyDescent="0.2">
      <c r="A5" s="158"/>
      <c r="B5" s="158"/>
      <c r="C5" s="292" t="str">
        <f>cover!C8</f>
        <v>2010-11</v>
      </c>
      <c r="D5" s="292"/>
      <c r="E5" s="292" t="str">
        <f>cover!E8</f>
        <v>2010-11</v>
      </c>
      <c r="F5" s="292"/>
      <c r="G5" s="292" t="str">
        <f>cover!G8</f>
        <v>2011 -12</v>
      </c>
      <c r="H5" s="292"/>
      <c r="I5" s="292" t="str">
        <f>cover!I8</f>
        <v>2012 -13</v>
      </c>
      <c r="J5" s="310"/>
      <c r="K5" s="294" t="str">
        <f>cover!K8</f>
        <v>FY12/FY13</v>
      </c>
    </row>
    <row r="6" spans="1:11" x14ac:dyDescent="0.2">
      <c r="A6" s="30" t="s">
        <v>19</v>
      </c>
      <c r="B6" s="30"/>
      <c r="C6" s="33"/>
      <c r="D6" s="33"/>
      <c r="E6" s="33"/>
      <c r="F6" s="33"/>
      <c r="G6" s="33"/>
      <c r="H6" s="33"/>
      <c r="I6" s="33"/>
    </row>
    <row r="7" spans="1:11" x14ac:dyDescent="0.2">
      <c r="A7" s="30"/>
      <c r="B7" s="2" t="s">
        <v>205</v>
      </c>
      <c r="C7" s="71">
        <f>86938+618</f>
        <v>87556</v>
      </c>
      <c r="D7" s="115"/>
      <c r="E7" s="115">
        <v>84969.69</v>
      </c>
      <c r="F7" s="115"/>
      <c r="G7" s="71">
        <f>86938+618</f>
        <v>87556</v>
      </c>
      <c r="H7" s="71"/>
      <c r="I7" s="71">
        <v>87556</v>
      </c>
      <c r="K7" s="234">
        <f>+(I7-G7)/G7</f>
        <v>0</v>
      </c>
    </row>
    <row r="8" spans="1:11" x14ac:dyDescent="0.2">
      <c r="A8" s="30"/>
      <c r="B8" s="2" t="s">
        <v>203</v>
      </c>
      <c r="C8" s="120">
        <v>0</v>
      </c>
      <c r="D8" s="115"/>
      <c r="E8" s="115">
        <v>62.9</v>
      </c>
      <c r="F8" s="115"/>
      <c r="G8" s="120">
        <v>0</v>
      </c>
      <c r="H8" s="71"/>
      <c r="I8" s="120">
        <v>0</v>
      </c>
      <c r="K8" s="234">
        <v>0</v>
      </c>
    </row>
    <row r="9" spans="1:11" x14ac:dyDescent="0.2">
      <c r="A9" s="30"/>
      <c r="B9" s="13" t="s">
        <v>206</v>
      </c>
      <c r="C9" s="71">
        <v>59000</v>
      </c>
      <c r="D9" s="115"/>
      <c r="E9" s="115">
        <v>0</v>
      </c>
      <c r="F9" s="115"/>
      <c r="G9" s="71">
        <v>59000</v>
      </c>
      <c r="H9" s="71"/>
      <c r="I9" s="71">
        <v>59000</v>
      </c>
      <c r="K9" s="234">
        <f t="shared" ref="K9:K10" si="0">+(I9-G9)/G9</f>
        <v>0</v>
      </c>
    </row>
    <row r="10" spans="1:11" x14ac:dyDescent="0.2">
      <c r="A10" s="30"/>
      <c r="B10" s="256" t="s">
        <v>204</v>
      </c>
      <c r="C10" s="71">
        <v>44640</v>
      </c>
      <c r="D10" s="115"/>
      <c r="E10" s="115">
        <v>41540</v>
      </c>
      <c r="F10" s="115"/>
      <c r="G10" s="71">
        <v>47740</v>
      </c>
      <c r="H10" s="71"/>
      <c r="I10" s="71">
        <v>47740</v>
      </c>
      <c r="K10" s="234">
        <f t="shared" si="0"/>
        <v>0</v>
      </c>
    </row>
    <row r="11" spans="1:11" x14ac:dyDescent="0.2">
      <c r="A11" s="30"/>
      <c r="B11" s="257" t="s">
        <v>20</v>
      </c>
      <c r="C11" s="70">
        <f>SUM(C7:C10)</f>
        <v>191196</v>
      </c>
      <c r="D11" s="33"/>
      <c r="E11" s="83">
        <f>SUM(E7:E10)</f>
        <v>126572.59</v>
      </c>
      <c r="F11" s="33"/>
      <c r="G11" s="70">
        <f>SUM(G7:G10)</f>
        <v>194296</v>
      </c>
      <c r="H11" s="68"/>
      <c r="I11" s="70">
        <f>SUM(I7:I10)</f>
        <v>194296</v>
      </c>
      <c r="K11" s="235">
        <f>1-G11/I11</f>
        <v>0</v>
      </c>
    </row>
    <row r="12" spans="1:11" x14ac:dyDescent="0.2">
      <c r="A12" s="30" t="s">
        <v>37</v>
      </c>
      <c r="B12" s="30"/>
      <c r="C12" s="33"/>
      <c r="D12" s="33"/>
      <c r="E12" s="33"/>
      <c r="F12" s="33"/>
      <c r="G12" s="68"/>
      <c r="H12" s="68"/>
      <c r="I12" s="68"/>
    </row>
    <row r="13" spans="1:11" x14ac:dyDescent="0.2">
      <c r="A13" s="30"/>
      <c r="B13" s="30"/>
      <c r="C13" s="33"/>
      <c r="D13" s="33"/>
      <c r="E13" s="33"/>
      <c r="F13" s="33"/>
      <c r="G13" s="68"/>
      <c r="H13" s="68"/>
      <c r="I13" s="68"/>
    </row>
    <row r="14" spans="1:11" x14ac:dyDescent="0.2">
      <c r="A14" s="30"/>
      <c r="B14" s="2" t="s">
        <v>174</v>
      </c>
      <c r="C14" s="71">
        <v>169144</v>
      </c>
      <c r="D14" s="115"/>
      <c r="E14" s="115">
        <v>125773.33</v>
      </c>
      <c r="F14" s="115"/>
      <c r="G14" s="71">
        <v>127915</v>
      </c>
      <c r="H14" s="71"/>
      <c r="I14" s="71">
        <v>114804.14</v>
      </c>
      <c r="K14" s="234">
        <f>+(I14-G14)/G14</f>
        <v>-0.10249665793691123</v>
      </c>
    </row>
    <row r="15" spans="1:11" x14ac:dyDescent="0.2">
      <c r="A15" s="30"/>
      <c r="B15" s="2" t="s">
        <v>421</v>
      </c>
      <c r="C15" s="71">
        <v>61170</v>
      </c>
      <c r="D15" s="115"/>
      <c r="E15" s="115">
        <v>32670.14</v>
      </c>
      <c r="F15" s="115"/>
      <c r="G15" s="71">
        <v>35520</v>
      </c>
      <c r="H15" s="71"/>
      <c r="I15" s="71">
        <v>57609</v>
      </c>
      <c r="K15" s="234">
        <f>+(I15-G15)/G15</f>
        <v>0.62187499999999996</v>
      </c>
    </row>
    <row r="16" spans="1:11" x14ac:dyDescent="0.2">
      <c r="A16" s="30"/>
      <c r="B16" s="2" t="s">
        <v>172</v>
      </c>
      <c r="C16" s="71">
        <v>64505</v>
      </c>
      <c r="D16" s="115"/>
      <c r="E16" s="115">
        <v>54306.22</v>
      </c>
      <c r="F16" s="115"/>
      <c r="G16" s="71">
        <v>65280</v>
      </c>
      <c r="H16" s="71"/>
      <c r="I16" s="71">
        <f>65280+(65280*0.03)</f>
        <v>67238.399999999994</v>
      </c>
      <c r="K16" s="234">
        <f>+(I16-G16)/G16</f>
        <v>2.9999999999999912E-2</v>
      </c>
    </row>
    <row r="17" spans="1:12" x14ac:dyDescent="0.2">
      <c r="A17" s="30"/>
      <c r="B17" s="31" t="s">
        <v>23</v>
      </c>
      <c r="C17" s="70">
        <f>SUM(C14:C16)</f>
        <v>294819</v>
      </c>
      <c r="D17" s="33"/>
      <c r="E17" s="83">
        <f>SUM(E14:E16)</f>
        <v>212749.69</v>
      </c>
      <c r="F17" s="33"/>
      <c r="G17" s="70">
        <f>SUM(G14:G16)</f>
        <v>228715</v>
      </c>
      <c r="H17" s="68"/>
      <c r="I17" s="70">
        <f>SUM(I14:I16)</f>
        <v>239651.54</v>
      </c>
      <c r="K17" s="235">
        <f>+(I17-G17)/G17</f>
        <v>4.7817327241326577E-2</v>
      </c>
    </row>
    <row r="18" spans="1:12" x14ac:dyDescent="0.2">
      <c r="A18" s="30"/>
      <c r="B18" s="30"/>
      <c r="C18" s="33" t="s">
        <v>104</v>
      </c>
      <c r="D18" s="33"/>
      <c r="E18" s="33"/>
      <c r="F18" s="33"/>
      <c r="G18" s="68"/>
      <c r="H18" s="68"/>
      <c r="I18" s="68"/>
    </row>
    <row r="19" spans="1:12" x14ac:dyDescent="0.2">
      <c r="A19" s="30" t="s">
        <v>24</v>
      </c>
      <c r="B19" s="30"/>
      <c r="C19" s="33"/>
      <c r="D19" s="33"/>
      <c r="E19" s="33"/>
      <c r="F19" s="33"/>
      <c r="G19" s="68"/>
      <c r="H19" s="68"/>
      <c r="I19" s="68"/>
    </row>
    <row r="20" spans="1:12" x14ac:dyDescent="0.2">
      <c r="A20" s="30"/>
      <c r="B20" s="2" t="s">
        <v>175</v>
      </c>
      <c r="C20" s="71">
        <f>91148+46768+1026+1735</f>
        <v>140677</v>
      </c>
      <c r="D20" s="115"/>
      <c r="E20" s="115">
        <v>85099.44</v>
      </c>
      <c r="F20" s="115"/>
      <c r="G20" s="71">
        <v>100000</v>
      </c>
      <c r="H20" s="71"/>
      <c r="I20" s="122">
        <f>22176+16476.17+28055.4+32628.07+(67238*0.03)</f>
        <v>101352.78000000001</v>
      </c>
      <c r="K20" s="234">
        <f>+(I20-G20)/G20</f>
        <v>1.3527800000000133E-2</v>
      </c>
    </row>
    <row r="21" spans="1:12" x14ac:dyDescent="0.2">
      <c r="A21" s="30"/>
      <c r="B21" s="31" t="s">
        <v>38</v>
      </c>
      <c r="C21" s="70">
        <f>SUM(C20:C20)</f>
        <v>140677</v>
      </c>
      <c r="D21" s="33"/>
      <c r="E21" s="83">
        <f>SUM(E20:E20)</f>
        <v>85099.44</v>
      </c>
      <c r="F21" s="33"/>
      <c r="G21" s="70">
        <f>SUM(G20:G20)</f>
        <v>100000</v>
      </c>
      <c r="H21" s="68"/>
      <c r="I21" s="70">
        <f>SUM(I20:I20)</f>
        <v>101352.78000000001</v>
      </c>
      <c r="K21" s="235">
        <f>+(I21-G21)/G21</f>
        <v>1.3527800000000133E-2</v>
      </c>
    </row>
    <row r="22" spans="1:12" x14ac:dyDescent="0.2">
      <c r="A22" s="30"/>
      <c r="B22" s="30"/>
      <c r="C22" s="33"/>
      <c r="D22" s="33"/>
      <c r="E22" s="33"/>
      <c r="F22" s="33"/>
      <c r="G22" s="68"/>
      <c r="H22" s="68"/>
      <c r="I22" s="68"/>
    </row>
    <row r="23" spans="1:12" x14ac:dyDescent="0.2">
      <c r="A23" s="30" t="s">
        <v>27</v>
      </c>
      <c r="B23" s="30"/>
      <c r="C23" s="33"/>
      <c r="D23" s="33"/>
      <c r="E23" s="33"/>
      <c r="F23" s="33"/>
      <c r="G23" s="68"/>
      <c r="H23" s="68"/>
      <c r="I23" s="68"/>
    </row>
    <row r="24" spans="1:12" x14ac:dyDescent="0.2">
      <c r="A24" s="30"/>
      <c r="B24" s="13" t="s">
        <v>199</v>
      </c>
      <c r="C24" s="71">
        <v>17725</v>
      </c>
      <c r="D24" s="115"/>
      <c r="E24" s="115">
        <v>15089.24</v>
      </c>
      <c r="F24" s="115"/>
      <c r="G24" s="71">
        <v>6830</v>
      </c>
      <c r="H24" s="71"/>
      <c r="I24" s="71">
        <v>15100</v>
      </c>
      <c r="J24" s="149"/>
      <c r="K24" s="234">
        <f t="shared" ref="K24:K27" si="1">+(I24-G24)/G24</f>
        <v>1.2108345534407028</v>
      </c>
      <c r="L24" s="232"/>
    </row>
    <row r="25" spans="1:12" x14ac:dyDescent="0.2">
      <c r="A25" s="30"/>
      <c r="B25" s="13" t="s">
        <v>178</v>
      </c>
      <c r="C25" s="71">
        <v>7700</v>
      </c>
      <c r="D25" s="115"/>
      <c r="E25" s="115">
        <v>3137.55</v>
      </c>
      <c r="F25" s="115"/>
      <c r="G25" s="71">
        <v>3354</v>
      </c>
      <c r="H25" s="71"/>
      <c r="I25" s="71">
        <v>3354</v>
      </c>
      <c r="K25" s="234">
        <f t="shared" si="1"/>
        <v>0</v>
      </c>
    </row>
    <row r="26" spans="1:12" x14ac:dyDescent="0.2">
      <c r="A26" s="30"/>
      <c r="B26" s="2" t="s">
        <v>200</v>
      </c>
      <c r="C26" s="71">
        <v>8125</v>
      </c>
      <c r="D26" s="115"/>
      <c r="E26" s="115">
        <v>6523.19</v>
      </c>
      <c r="F26" s="115"/>
      <c r="G26" s="71">
        <v>8125</v>
      </c>
      <c r="H26" s="71"/>
      <c r="I26" s="71">
        <v>6523</v>
      </c>
      <c r="K26" s="234">
        <f t="shared" si="1"/>
        <v>-0.19716923076923076</v>
      </c>
    </row>
    <row r="27" spans="1:12" x14ac:dyDescent="0.2">
      <c r="A27" s="30"/>
      <c r="B27" s="2" t="s">
        <v>180</v>
      </c>
      <c r="C27" s="71">
        <v>25</v>
      </c>
      <c r="D27" s="115"/>
      <c r="E27" s="115">
        <v>0</v>
      </c>
      <c r="F27" s="115"/>
      <c r="G27" s="71">
        <v>25</v>
      </c>
      <c r="H27" s="71"/>
      <c r="I27" s="71">
        <v>0</v>
      </c>
      <c r="K27" s="234">
        <f t="shared" si="1"/>
        <v>-1</v>
      </c>
    </row>
    <row r="28" spans="1:12" x14ac:dyDescent="0.2">
      <c r="A28" s="30"/>
      <c r="B28" s="13" t="s">
        <v>202</v>
      </c>
      <c r="C28" s="71">
        <v>14280</v>
      </c>
      <c r="D28" s="115"/>
      <c r="E28" s="115">
        <v>5282.03</v>
      </c>
      <c r="F28" s="115"/>
      <c r="G28" s="71">
        <v>14280</v>
      </c>
      <c r="H28" s="71"/>
      <c r="I28" s="71">
        <v>5300</v>
      </c>
      <c r="K28" s="234">
        <f>+(I28-G28)/G28</f>
        <v>-0.62885154061624648</v>
      </c>
    </row>
    <row r="29" spans="1:12" x14ac:dyDescent="0.2">
      <c r="A29" s="30"/>
      <c r="B29" s="13" t="s">
        <v>181</v>
      </c>
      <c r="C29" s="71">
        <v>0</v>
      </c>
      <c r="D29" s="115"/>
      <c r="E29" s="115">
        <v>2877.88</v>
      </c>
      <c r="F29" s="115"/>
      <c r="G29" s="71">
        <v>0</v>
      </c>
      <c r="H29" s="71"/>
      <c r="I29" s="71">
        <v>2877</v>
      </c>
      <c r="K29" s="234">
        <v>1</v>
      </c>
    </row>
    <row r="30" spans="1:12" x14ac:dyDescent="0.2">
      <c r="A30" s="30"/>
      <c r="B30" s="13" t="s">
        <v>207</v>
      </c>
      <c r="C30" s="71">
        <v>1225</v>
      </c>
      <c r="D30" s="115"/>
      <c r="E30" s="115">
        <v>3983.2</v>
      </c>
      <c r="F30" s="115"/>
      <c r="G30" s="71">
        <v>1225</v>
      </c>
      <c r="H30" s="71"/>
      <c r="I30" s="71">
        <v>3983</v>
      </c>
      <c r="K30" s="234">
        <f>+(I30-G30)/G30</f>
        <v>2.2514285714285713</v>
      </c>
    </row>
    <row r="31" spans="1:12" x14ac:dyDescent="0.2">
      <c r="A31" s="30"/>
      <c r="B31" s="13" t="s">
        <v>209</v>
      </c>
      <c r="C31" s="71">
        <v>0</v>
      </c>
      <c r="D31" s="115"/>
      <c r="E31" s="115">
        <v>132698</v>
      </c>
      <c r="F31" s="115"/>
      <c r="G31" s="71">
        <v>0</v>
      </c>
      <c r="H31" s="71"/>
      <c r="I31" s="71">
        <v>0</v>
      </c>
      <c r="K31" s="234">
        <v>0</v>
      </c>
    </row>
    <row r="32" spans="1:12" x14ac:dyDescent="0.2">
      <c r="A32" s="30"/>
      <c r="B32" s="2" t="s">
        <v>208</v>
      </c>
      <c r="C32" s="71">
        <v>0</v>
      </c>
      <c r="D32" s="115"/>
      <c r="E32" s="115">
        <v>4069.07</v>
      </c>
      <c r="F32" s="115"/>
      <c r="G32" s="71">
        <v>0</v>
      </c>
      <c r="H32" s="71"/>
      <c r="I32" s="71">
        <v>0</v>
      </c>
      <c r="K32" s="234">
        <v>0</v>
      </c>
    </row>
    <row r="33" spans="1:11" x14ac:dyDescent="0.2">
      <c r="A33" s="30"/>
      <c r="B33" s="2" t="s">
        <v>201</v>
      </c>
      <c r="C33" s="71">
        <v>205</v>
      </c>
      <c r="D33" s="71"/>
      <c r="E33" s="120">
        <v>7486.65</v>
      </c>
      <c r="F33" s="71"/>
      <c r="G33" s="71">
        <v>205</v>
      </c>
      <c r="H33" s="71"/>
      <c r="I33" s="71">
        <v>205</v>
      </c>
      <c r="K33" s="234">
        <f>+(I33-G33)/G33</f>
        <v>0</v>
      </c>
    </row>
    <row r="34" spans="1:11" x14ac:dyDescent="0.2">
      <c r="A34" s="30"/>
      <c r="B34" s="12" t="s">
        <v>76</v>
      </c>
      <c r="C34" s="70">
        <f>SUM(C24:C33)</f>
        <v>49285</v>
      </c>
      <c r="D34" s="33"/>
      <c r="E34" s="83">
        <f>SUM(E24:E33)</f>
        <v>181146.81</v>
      </c>
      <c r="F34" s="33"/>
      <c r="G34" s="70">
        <f>SUM(G24:G33)</f>
        <v>34044</v>
      </c>
      <c r="H34" s="68"/>
      <c r="I34" s="70">
        <f>SUM(I24:I33)</f>
        <v>37342</v>
      </c>
      <c r="K34" s="235">
        <f>+(I34-G34)/G34</f>
        <v>9.6874632828104809E-2</v>
      </c>
    </row>
    <row r="35" spans="1:11" x14ac:dyDescent="0.2">
      <c r="A35" s="30"/>
      <c r="B35" s="31"/>
      <c r="C35" s="33"/>
      <c r="D35" s="33"/>
      <c r="E35" s="33"/>
      <c r="F35" s="33"/>
      <c r="G35" s="68"/>
      <c r="H35" s="68"/>
      <c r="I35" s="68"/>
    </row>
    <row r="36" spans="1:11" x14ac:dyDescent="0.2">
      <c r="A36" s="30"/>
      <c r="B36" s="63" t="s">
        <v>33</v>
      </c>
      <c r="C36" s="67">
        <f>SUM(C34+C21+C17)</f>
        <v>484781</v>
      </c>
      <c r="D36" s="33"/>
      <c r="E36" s="81">
        <f>SUM(E34+E21+E17)</f>
        <v>478995.94</v>
      </c>
      <c r="F36" s="33"/>
      <c r="G36" s="67">
        <f>SUM(G34+G21+G17)</f>
        <v>362759</v>
      </c>
      <c r="H36" s="68"/>
      <c r="I36" s="67">
        <f>SUM(I34+I21+I17)</f>
        <v>378346.32000000007</v>
      </c>
      <c r="K36" s="241">
        <f>+(I36-G36)/G36</f>
        <v>4.2968802979388702E-2</v>
      </c>
    </row>
    <row r="37" spans="1:11" x14ac:dyDescent="0.2">
      <c r="A37" s="30"/>
      <c r="B37" s="30"/>
      <c r="C37" s="33"/>
      <c r="D37" s="33"/>
      <c r="E37" s="33"/>
      <c r="F37" s="33"/>
      <c r="G37" s="68"/>
      <c r="H37" s="68"/>
      <c r="I37" s="68"/>
    </row>
    <row r="38" spans="1:11" ht="13.5" thickBot="1" x14ac:dyDescent="0.25">
      <c r="A38" s="30"/>
      <c r="B38" s="30" t="s">
        <v>46</v>
      </c>
      <c r="C38" s="226">
        <f>SUM(C11-C17-C21-C34)</f>
        <v>-293585</v>
      </c>
      <c r="D38" s="33"/>
      <c r="E38" s="227">
        <f>SUM(E11-E17-E21-E34)</f>
        <v>-352423.35</v>
      </c>
      <c r="F38" s="33"/>
      <c r="G38" s="226">
        <f>SUM(G11-G17-G21-G34)</f>
        <v>-168463</v>
      </c>
      <c r="H38" s="68"/>
      <c r="I38" s="226">
        <f>SUM(I11-I17-I21-I34)</f>
        <v>-184050.32</v>
      </c>
      <c r="K38" s="242">
        <f>+(I38-G38)/G38</f>
        <v>9.252666757685668E-2</v>
      </c>
    </row>
    <row r="39" spans="1:11" ht="13.5" thickTop="1" x14ac:dyDescent="0.2">
      <c r="B39" s="2"/>
      <c r="C39" s="26"/>
      <c r="D39" s="26"/>
      <c r="E39" s="26"/>
      <c r="F39" s="26"/>
      <c r="G39" s="73"/>
      <c r="H39" s="73"/>
      <c r="I39" s="73"/>
    </row>
    <row r="40" spans="1:11" x14ac:dyDescent="0.2">
      <c r="B40" s="12"/>
      <c r="C40" s="26"/>
      <c r="D40" s="26"/>
      <c r="E40" s="26"/>
      <c r="F40" s="26"/>
      <c r="G40" s="18"/>
      <c r="H40" s="18"/>
      <c r="I40" s="18"/>
    </row>
    <row r="41" spans="1:11" x14ac:dyDescent="0.2">
      <c r="A41" s="91"/>
      <c r="B41" s="13"/>
      <c r="C41" s="44"/>
      <c r="D41" s="44"/>
      <c r="E41" s="44"/>
      <c r="F41" s="44"/>
      <c r="G41" s="18"/>
      <c r="H41" s="18"/>
      <c r="I41" s="79"/>
    </row>
    <row r="42" spans="1:11" x14ac:dyDescent="0.2">
      <c r="B42" s="13"/>
      <c r="G42" s="18"/>
      <c r="H42" s="18"/>
      <c r="I42" s="37"/>
    </row>
    <row r="43" spans="1:11" x14ac:dyDescent="0.2">
      <c r="A43"/>
      <c r="B43" s="37"/>
      <c r="C43" s="37"/>
      <c r="D43" s="37"/>
      <c r="E43" s="37"/>
      <c r="F43" s="37"/>
      <c r="G43" s="37"/>
      <c r="H43" s="37"/>
      <c r="I43" s="18"/>
    </row>
    <row r="44" spans="1:11" x14ac:dyDescent="0.2">
      <c r="A44"/>
      <c r="B44" s="37"/>
      <c r="C44" s="37"/>
      <c r="D44" s="37"/>
      <c r="E44" s="37"/>
      <c r="F44" s="37"/>
      <c r="G44" s="37"/>
      <c r="H44" s="37"/>
      <c r="I44" s="18"/>
    </row>
    <row r="45" spans="1:11" x14ac:dyDescent="0.2">
      <c r="A45"/>
      <c r="B45" s="37"/>
      <c r="C45" s="37"/>
      <c r="D45" s="37"/>
      <c r="E45" s="37"/>
      <c r="F45" s="37"/>
      <c r="G45" s="37"/>
      <c r="H45" s="37"/>
      <c r="I45" s="18"/>
    </row>
    <row r="46" spans="1:11" x14ac:dyDescent="0.2">
      <c r="A46"/>
      <c r="B46"/>
      <c r="C46"/>
      <c r="D46"/>
      <c r="E46"/>
      <c r="F46"/>
      <c r="G46"/>
      <c r="H46"/>
      <c r="I46" s="18"/>
    </row>
    <row r="47" spans="1:11" x14ac:dyDescent="0.2">
      <c r="A47"/>
      <c r="B47"/>
      <c r="C47"/>
      <c r="D47"/>
      <c r="E47"/>
      <c r="F47"/>
      <c r="G47"/>
      <c r="H47"/>
      <c r="I47" s="18"/>
    </row>
    <row r="48" spans="1:11" x14ac:dyDescent="0.2">
      <c r="A48"/>
      <c r="B48"/>
      <c r="C48"/>
      <c r="D48"/>
      <c r="E48"/>
      <c r="F48"/>
      <c r="G48"/>
      <c r="H48"/>
      <c r="I48" s="18"/>
    </row>
    <row r="49" spans="1:9" x14ac:dyDescent="0.2">
      <c r="A49"/>
      <c r="B49"/>
      <c r="C49"/>
      <c r="D49"/>
      <c r="E49"/>
      <c r="F49"/>
      <c r="G49"/>
      <c r="H49"/>
      <c r="I49" s="18"/>
    </row>
    <row r="50" spans="1:9" x14ac:dyDescent="0.2">
      <c r="A50"/>
      <c r="B50"/>
      <c r="C50"/>
      <c r="D50"/>
      <c r="E50"/>
      <c r="F50"/>
      <c r="G50"/>
      <c r="H50"/>
      <c r="I50" s="18"/>
    </row>
    <row r="51" spans="1:9" x14ac:dyDescent="0.2">
      <c r="A51"/>
      <c r="B51"/>
      <c r="C51"/>
      <c r="D51"/>
      <c r="E51"/>
      <c r="F51"/>
      <c r="G51"/>
      <c r="H51"/>
      <c r="I51" s="18"/>
    </row>
    <row r="52" spans="1:9" x14ac:dyDescent="0.2">
      <c r="A52"/>
      <c r="B52"/>
      <c r="C52"/>
      <c r="D52"/>
      <c r="E52"/>
      <c r="F52"/>
      <c r="G52"/>
      <c r="H52"/>
      <c r="I52" s="18"/>
    </row>
    <row r="53" spans="1:9" x14ac:dyDescent="0.2">
      <c r="A53"/>
      <c r="B53"/>
      <c r="C53"/>
      <c r="D53"/>
      <c r="E53"/>
      <c r="F53"/>
      <c r="G53"/>
      <c r="H53"/>
      <c r="I53" s="18"/>
    </row>
    <row r="54" spans="1:9" x14ac:dyDescent="0.2">
      <c r="A54"/>
      <c r="B54"/>
      <c r="C54"/>
      <c r="D54"/>
      <c r="E54"/>
      <c r="F54"/>
      <c r="G54"/>
      <c r="H54"/>
      <c r="I54" s="18"/>
    </row>
    <row r="55" spans="1:9" x14ac:dyDescent="0.2">
      <c r="A55"/>
      <c r="B55"/>
      <c r="C55"/>
      <c r="D55"/>
      <c r="E55"/>
      <c r="F55"/>
      <c r="G55"/>
      <c r="H55"/>
      <c r="I55" s="18"/>
    </row>
    <row r="56" spans="1:9" x14ac:dyDescent="0.2">
      <c r="A56"/>
      <c r="B56"/>
      <c r="C56"/>
      <c r="D56"/>
      <c r="E56"/>
      <c r="F56"/>
      <c r="G56"/>
      <c r="H56"/>
      <c r="I56" s="18"/>
    </row>
    <row r="57" spans="1:9" x14ac:dyDescent="0.2">
      <c r="A57"/>
      <c r="B57"/>
      <c r="C57"/>
      <c r="D57"/>
      <c r="E57"/>
      <c r="F57"/>
      <c r="G57"/>
      <c r="H57"/>
      <c r="I57" s="18"/>
    </row>
    <row r="58" spans="1:9" x14ac:dyDescent="0.2">
      <c r="A58"/>
      <c r="B58"/>
      <c r="C58"/>
      <c r="D58"/>
      <c r="E58"/>
      <c r="F58"/>
      <c r="G58"/>
      <c r="H58"/>
      <c r="I58" s="18"/>
    </row>
    <row r="59" spans="1:9" x14ac:dyDescent="0.2">
      <c r="A59"/>
      <c r="B59"/>
      <c r="C59"/>
      <c r="D59"/>
      <c r="E59"/>
      <c r="F59"/>
      <c r="G59"/>
      <c r="H59"/>
      <c r="I59" s="18"/>
    </row>
    <row r="60" spans="1:9" x14ac:dyDescent="0.2">
      <c r="A60"/>
      <c r="B60"/>
      <c r="C60"/>
      <c r="D60"/>
      <c r="E60"/>
      <c r="F60"/>
      <c r="G60"/>
      <c r="H60"/>
      <c r="I60" s="18"/>
    </row>
    <row r="61" spans="1:9" x14ac:dyDescent="0.2">
      <c r="A61"/>
      <c r="B61"/>
      <c r="C61"/>
      <c r="D61"/>
      <c r="E61"/>
      <c r="F61"/>
      <c r="G61"/>
      <c r="H61"/>
      <c r="I61" s="18"/>
    </row>
    <row r="62" spans="1:9" x14ac:dyDescent="0.2">
      <c r="A62"/>
      <c r="B62"/>
      <c r="C62"/>
      <c r="D62"/>
      <c r="E62"/>
      <c r="F62"/>
      <c r="G62"/>
      <c r="H62"/>
      <c r="I62" s="18"/>
    </row>
    <row r="63" spans="1:9" x14ac:dyDescent="0.2">
      <c r="A63"/>
      <c r="B63"/>
      <c r="C63"/>
      <c r="D63"/>
      <c r="E63"/>
      <c r="F63"/>
      <c r="G63"/>
      <c r="H63"/>
      <c r="I63" s="18"/>
    </row>
    <row r="64" spans="1:9" x14ac:dyDescent="0.2">
      <c r="A64"/>
      <c r="B64"/>
      <c r="C64"/>
      <c r="D64"/>
      <c r="E64"/>
      <c r="F64"/>
      <c r="G64"/>
      <c r="H64"/>
      <c r="I64" s="18"/>
    </row>
    <row r="65" spans="1:9" x14ac:dyDescent="0.2">
      <c r="A65"/>
      <c r="B65"/>
      <c r="C65"/>
      <c r="D65"/>
      <c r="E65"/>
      <c r="F65"/>
      <c r="G65"/>
      <c r="H65"/>
      <c r="I65" s="18"/>
    </row>
    <row r="66" spans="1:9" x14ac:dyDescent="0.2">
      <c r="A66"/>
      <c r="B66"/>
      <c r="C66"/>
      <c r="D66"/>
      <c r="E66"/>
      <c r="F66"/>
      <c r="G66"/>
      <c r="H66"/>
      <c r="I66" s="18"/>
    </row>
    <row r="67" spans="1:9" x14ac:dyDescent="0.2">
      <c r="A67"/>
      <c r="B67"/>
      <c r="C67"/>
      <c r="D67"/>
      <c r="E67"/>
      <c r="F67"/>
      <c r="G67"/>
      <c r="H67"/>
      <c r="I67" s="18"/>
    </row>
    <row r="68" spans="1:9" x14ac:dyDescent="0.2">
      <c r="A68"/>
      <c r="B68"/>
      <c r="C68"/>
      <c r="D68"/>
      <c r="E68"/>
      <c r="F68"/>
      <c r="G68"/>
      <c r="H68"/>
      <c r="I68" s="18"/>
    </row>
    <row r="69" spans="1:9" x14ac:dyDescent="0.2">
      <c r="A69"/>
      <c r="B69"/>
      <c r="C69"/>
      <c r="D69"/>
      <c r="E69"/>
      <c r="F69"/>
      <c r="G69"/>
      <c r="H69"/>
      <c r="I69" s="18"/>
    </row>
    <row r="70" spans="1:9" x14ac:dyDescent="0.2">
      <c r="A70"/>
      <c r="B70"/>
      <c r="C70"/>
      <c r="D70"/>
      <c r="E70"/>
      <c r="F70"/>
      <c r="G70"/>
      <c r="H70"/>
      <c r="I70" s="18"/>
    </row>
    <row r="71" spans="1:9" x14ac:dyDescent="0.2">
      <c r="A71"/>
      <c r="B71"/>
      <c r="C71"/>
      <c r="D71"/>
      <c r="E71"/>
      <c r="F71"/>
      <c r="G71"/>
      <c r="H71"/>
      <c r="I71" s="18"/>
    </row>
    <row r="72" spans="1:9" x14ac:dyDescent="0.2">
      <c r="A72"/>
      <c r="B72"/>
      <c r="C72"/>
      <c r="D72"/>
      <c r="E72"/>
      <c r="F72"/>
      <c r="G72"/>
      <c r="H72"/>
      <c r="I72" s="18"/>
    </row>
    <row r="73" spans="1:9" x14ac:dyDescent="0.2">
      <c r="A73"/>
      <c r="B73"/>
      <c r="C73"/>
      <c r="D73"/>
      <c r="E73"/>
      <c r="F73"/>
      <c r="G73"/>
      <c r="H73"/>
      <c r="I73" s="18"/>
    </row>
    <row r="74" spans="1:9" x14ac:dyDescent="0.2">
      <c r="A74"/>
      <c r="B74"/>
      <c r="C74"/>
      <c r="D74"/>
      <c r="E74"/>
      <c r="F74"/>
      <c r="G74"/>
      <c r="H74"/>
      <c r="I74" s="18"/>
    </row>
    <row r="75" spans="1:9" x14ac:dyDescent="0.2">
      <c r="A75"/>
      <c r="B75"/>
      <c r="C75"/>
      <c r="D75"/>
      <c r="E75"/>
      <c r="F75"/>
      <c r="G75"/>
      <c r="H75"/>
      <c r="I75" s="18"/>
    </row>
    <row r="76" spans="1:9" x14ac:dyDescent="0.2">
      <c r="A76"/>
      <c r="B76"/>
      <c r="C76"/>
      <c r="D76"/>
      <c r="E76"/>
      <c r="F76"/>
      <c r="G76"/>
      <c r="H76"/>
      <c r="I76" s="18"/>
    </row>
    <row r="77" spans="1:9" x14ac:dyDescent="0.2">
      <c r="A77"/>
      <c r="B77"/>
      <c r="C77"/>
      <c r="D77"/>
      <c r="E77"/>
      <c r="F77"/>
      <c r="G77"/>
      <c r="H77"/>
      <c r="I77" s="18"/>
    </row>
    <row r="78" spans="1:9" x14ac:dyDescent="0.2">
      <c r="G78" s="18"/>
      <c r="H78" s="18"/>
      <c r="I78" s="18"/>
    </row>
    <row r="79" spans="1:9" x14ac:dyDescent="0.2">
      <c r="G79" s="18"/>
      <c r="H79" s="18"/>
      <c r="I79" s="18"/>
    </row>
    <row r="80" spans="1:9" x14ac:dyDescent="0.2">
      <c r="G80" s="18"/>
      <c r="H80" s="18"/>
      <c r="I80" s="18"/>
    </row>
    <row r="81" spans="7:9" x14ac:dyDescent="0.2">
      <c r="G81" s="18"/>
      <c r="H81" s="18"/>
      <c r="I81" s="18"/>
    </row>
    <row r="82" spans="7:9" x14ac:dyDescent="0.2">
      <c r="G82" s="18"/>
      <c r="H82" s="18"/>
      <c r="I82" s="18"/>
    </row>
    <row r="83" spans="7:9" x14ac:dyDescent="0.2">
      <c r="G83" s="18"/>
      <c r="H83" s="18"/>
      <c r="I83" s="18"/>
    </row>
    <row r="84" spans="7:9" x14ac:dyDescent="0.2">
      <c r="G84" s="18"/>
      <c r="H84" s="18"/>
      <c r="I84" s="18"/>
    </row>
    <row r="85" spans="7:9" x14ac:dyDescent="0.2">
      <c r="G85" s="18"/>
      <c r="H85" s="18"/>
      <c r="I85" s="18"/>
    </row>
    <row r="86" spans="7:9" x14ac:dyDescent="0.2">
      <c r="G86" s="18"/>
      <c r="H86" s="18"/>
      <c r="I86" s="18"/>
    </row>
    <row r="87" spans="7:9" x14ac:dyDescent="0.2">
      <c r="G87" s="18"/>
      <c r="H87" s="18"/>
      <c r="I87" s="18"/>
    </row>
    <row r="88" spans="7:9" x14ac:dyDescent="0.2">
      <c r="G88" s="18"/>
      <c r="H88" s="18"/>
      <c r="I88" s="18"/>
    </row>
    <row r="89" spans="7:9" x14ac:dyDescent="0.2">
      <c r="G89" s="18"/>
      <c r="H89" s="18"/>
      <c r="I89" s="18"/>
    </row>
    <row r="90" spans="7:9" x14ac:dyDescent="0.2">
      <c r="G90" s="18"/>
      <c r="H90" s="18"/>
      <c r="I90" s="18"/>
    </row>
    <row r="91" spans="7:9" x14ac:dyDescent="0.2">
      <c r="G91" s="18"/>
      <c r="H91" s="18"/>
      <c r="I91" s="18"/>
    </row>
    <row r="92" spans="7:9" x14ac:dyDescent="0.2">
      <c r="G92" s="18"/>
      <c r="H92" s="18"/>
      <c r="I92" s="18"/>
    </row>
    <row r="93" spans="7:9" x14ac:dyDescent="0.2">
      <c r="G93" s="18"/>
      <c r="H93" s="18"/>
      <c r="I93" s="18"/>
    </row>
    <row r="94" spans="7:9" x14ac:dyDescent="0.2">
      <c r="G94" s="18"/>
      <c r="H94" s="18"/>
      <c r="I94" s="18"/>
    </row>
    <row r="95" spans="7:9" x14ac:dyDescent="0.2">
      <c r="G95" s="18"/>
      <c r="H95" s="18"/>
      <c r="I95" s="18"/>
    </row>
    <row r="96" spans="7:9" x14ac:dyDescent="0.2">
      <c r="G96" s="18"/>
      <c r="H96" s="18"/>
      <c r="I96" s="18"/>
    </row>
    <row r="97" spans="7:9" x14ac:dyDescent="0.2">
      <c r="G97" s="18"/>
      <c r="H97" s="18"/>
      <c r="I97" s="18"/>
    </row>
    <row r="98" spans="7:9" x14ac:dyDescent="0.2">
      <c r="G98" s="18"/>
      <c r="H98" s="18"/>
      <c r="I98" s="18"/>
    </row>
    <row r="99" spans="7:9" x14ac:dyDescent="0.2">
      <c r="G99" s="18"/>
      <c r="H99" s="18"/>
      <c r="I99" s="18"/>
    </row>
    <row r="100" spans="7:9" x14ac:dyDescent="0.2">
      <c r="G100" s="18"/>
      <c r="H100" s="18"/>
      <c r="I100" s="18"/>
    </row>
    <row r="101" spans="7:9" x14ac:dyDescent="0.2">
      <c r="G101" s="18"/>
      <c r="H101" s="18"/>
      <c r="I101" s="18"/>
    </row>
    <row r="102" spans="7:9" x14ac:dyDescent="0.2">
      <c r="G102" s="18"/>
      <c r="H102" s="18"/>
      <c r="I102" s="18"/>
    </row>
    <row r="103" spans="7:9" x14ac:dyDescent="0.2">
      <c r="G103" s="18"/>
      <c r="H103" s="18"/>
      <c r="I103" s="18"/>
    </row>
    <row r="104" spans="7:9" x14ac:dyDescent="0.2">
      <c r="G104" s="18"/>
      <c r="H104" s="18"/>
      <c r="I104" s="18"/>
    </row>
    <row r="105" spans="7:9" x14ac:dyDescent="0.2">
      <c r="G105" s="18"/>
      <c r="H105" s="18"/>
      <c r="I105" s="18"/>
    </row>
    <row r="106" spans="7:9" x14ac:dyDescent="0.2">
      <c r="G106" s="18"/>
      <c r="H106" s="18"/>
      <c r="I106" s="18"/>
    </row>
    <row r="107" spans="7:9" x14ac:dyDescent="0.2">
      <c r="G107" s="18"/>
      <c r="H107" s="18"/>
      <c r="I107" s="18"/>
    </row>
    <row r="108" spans="7:9" x14ac:dyDescent="0.2">
      <c r="G108" s="18"/>
      <c r="H108" s="18"/>
      <c r="I108" s="18"/>
    </row>
    <row r="109" spans="7:9" x14ac:dyDescent="0.2">
      <c r="G109" s="18"/>
      <c r="H109" s="18"/>
      <c r="I109" s="18"/>
    </row>
    <row r="110" spans="7:9" x14ac:dyDescent="0.2">
      <c r="G110" s="18"/>
      <c r="H110" s="18"/>
      <c r="I110" s="18"/>
    </row>
    <row r="111" spans="7:9" x14ac:dyDescent="0.2">
      <c r="G111" s="18"/>
      <c r="H111" s="18"/>
      <c r="I111" s="18"/>
    </row>
    <row r="112" spans="7:9" x14ac:dyDescent="0.2">
      <c r="G112" s="18"/>
      <c r="H112" s="18"/>
      <c r="I112" s="18"/>
    </row>
    <row r="113" spans="2:9" x14ac:dyDescent="0.2">
      <c r="G113" s="18"/>
      <c r="H113" s="18"/>
      <c r="I113" s="18"/>
    </row>
    <row r="114" spans="2:9" x14ac:dyDescent="0.2">
      <c r="G114" s="18"/>
      <c r="H114" s="18"/>
      <c r="I114" s="18"/>
    </row>
    <row r="115" spans="2:9" x14ac:dyDescent="0.2">
      <c r="G115" s="18"/>
      <c r="H115" s="18"/>
      <c r="I115" s="18"/>
    </row>
    <row r="116" spans="2:9" x14ac:dyDescent="0.2">
      <c r="G116" s="18"/>
      <c r="H116" s="18"/>
      <c r="I116" s="18"/>
    </row>
    <row r="117" spans="2:9" x14ac:dyDescent="0.2">
      <c r="G117" s="18"/>
      <c r="H117" s="18"/>
      <c r="I117" s="18"/>
    </row>
    <row r="118" spans="2:9" x14ac:dyDescent="0.2">
      <c r="G118" s="18"/>
      <c r="H118" s="18"/>
      <c r="I118" s="18"/>
    </row>
    <row r="119" spans="2:9" x14ac:dyDescent="0.2">
      <c r="G119" s="18"/>
      <c r="H119" s="18"/>
      <c r="I119" s="18"/>
    </row>
    <row r="120" spans="2:9" x14ac:dyDescent="0.2">
      <c r="G120" s="18"/>
      <c r="H120" s="18"/>
      <c r="I120" s="18"/>
    </row>
    <row r="121" spans="2:9" x14ac:dyDescent="0.2">
      <c r="G121" s="18"/>
      <c r="H121" s="18"/>
      <c r="I121" s="18"/>
    </row>
    <row r="122" spans="2:9" x14ac:dyDescent="0.2">
      <c r="B122"/>
      <c r="C122" s="27"/>
      <c r="D122" s="27"/>
      <c r="E122" s="27"/>
      <c r="F122" s="27"/>
      <c r="G122" s="27"/>
      <c r="H122" s="27"/>
      <c r="I122" s="27"/>
    </row>
    <row r="123" spans="2:9" x14ac:dyDescent="0.2">
      <c r="B123"/>
      <c r="C123" s="27"/>
      <c r="D123" s="27"/>
      <c r="E123" s="27"/>
      <c r="F123" s="27"/>
      <c r="G123" s="27"/>
      <c r="H123" s="27"/>
      <c r="I123" s="27"/>
    </row>
    <row r="124" spans="2:9" x14ac:dyDescent="0.2">
      <c r="B124"/>
      <c r="C124" s="27"/>
      <c r="D124" s="27"/>
      <c r="E124" s="27"/>
      <c r="F124" s="27"/>
      <c r="G124" s="27"/>
      <c r="H124" s="27"/>
      <c r="I124" s="27"/>
    </row>
    <row r="125" spans="2:9" x14ac:dyDescent="0.2">
      <c r="B125"/>
      <c r="C125" s="27"/>
      <c r="D125" s="27"/>
      <c r="E125" s="27"/>
      <c r="F125" s="27"/>
      <c r="G125" s="27"/>
      <c r="H125" s="27"/>
      <c r="I125" s="27"/>
    </row>
    <row r="126" spans="2:9" x14ac:dyDescent="0.2">
      <c r="B126"/>
      <c r="C126" s="27"/>
      <c r="D126" s="27"/>
      <c r="E126" s="27"/>
      <c r="F126" s="27"/>
      <c r="G126" s="27"/>
      <c r="H126" s="27"/>
      <c r="I126" s="27"/>
    </row>
    <row r="127" spans="2:9" x14ac:dyDescent="0.2">
      <c r="B127"/>
      <c r="C127" s="27"/>
      <c r="D127" s="27"/>
      <c r="E127" s="27"/>
      <c r="F127" s="27"/>
      <c r="G127" s="27"/>
      <c r="H127" s="27"/>
      <c r="I127" s="27"/>
    </row>
    <row r="128" spans="2:9" x14ac:dyDescent="0.2">
      <c r="B128"/>
      <c r="C128" s="27"/>
      <c r="D128" s="27"/>
      <c r="E128" s="27"/>
      <c r="F128" s="27"/>
      <c r="G128" s="27"/>
      <c r="H128" s="27"/>
      <c r="I128" s="27"/>
    </row>
    <row r="129" spans="2:9" x14ac:dyDescent="0.2">
      <c r="B129"/>
      <c r="C129" s="27"/>
      <c r="D129" s="27"/>
      <c r="E129" s="27"/>
      <c r="F129" s="27"/>
      <c r="G129" s="27"/>
      <c r="H129" s="27"/>
      <c r="I129" s="27"/>
    </row>
    <row r="130" spans="2:9" x14ac:dyDescent="0.2">
      <c r="B130"/>
      <c r="C130" s="27"/>
      <c r="D130" s="27"/>
      <c r="E130" s="27"/>
      <c r="F130" s="27"/>
      <c r="G130" s="27"/>
      <c r="H130" s="27"/>
      <c r="I130" s="27"/>
    </row>
    <row r="131" spans="2:9" x14ac:dyDescent="0.2">
      <c r="B131"/>
      <c r="C131" s="27"/>
      <c r="D131" s="27"/>
      <c r="E131" s="27"/>
      <c r="F131" s="27"/>
      <c r="G131" s="27"/>
      <c r="H131" s="27"/>
      <c r="I131" s="27"/>
    </row>
    <row r="132" spans="2:9" x14ac:dyDescent="0.2">
      <c r="B132"/>
      <c r="C132" s="27"/>
      <c r="D132" s="27"/>
      <c r="E132" s="27"/>
      <c r="F132" s="27"/>
      <c r="G132" s="27"/>
      <c r="H132" s="27"/>
      <c r="I132" s="27"/>
    </row>
    <row r="133" spans="2:9" x14ac:dyDescent="0.2">
      <c r="B133"/>
      <c r="C133" s="27"/>
      <c r="D133" s="27"/>
      <c r="E133" s="27"/>
      <c r="F133" s="27"/>
      <c r="G133" s="27"/>
      <c r="H133" s="27"/>
      <c r="I133" s="27"/>
    </row>
    <row r="134" spans="2:9" x14ac:dyDescent="0.2">
      <c r="B134"/>
      <c r="C134" s="27"/>
      <c r="D134" s="27"/>
      <c r="E134" s="27"/>
      <c r="F134" s="27"/>
      <c r="G134" s="27"/>
      <c r="H134" s="27"/>
      <c r="I134" s="27"/>
    </row>
    <row r="135" spans="2:9" x14ac:dyDescent="0.2">
      <c r="B135"/>
      <c r="C135" s="27"/>
      <c r="D135" s="27"/>
      <c r="E135" s="27"/>
      <c r="F135" s="27"/>
      <c r="G135" s="27"/>
      <c r="H135" s="27"/>
      <c r="I135" s="27"/>
    </row>
    <row r="136" spans="2:9" x14ac:dyDescent="0.2">
      <c r="B136"/>
      <c r="C136" s="27"/>
      <c r="D136" s="27"/>
      <c r="E136" s="27"/>
      <c r="F136" s="27"/>
      <c r="G136" s="27"/>
      <c r="H136" s="27"/>
      <c r="I136" s="27"/>
    </row>
    <row r="137" spans="2:9" x14ac:dyDescent="0.2">
      <c r="B137"/>
      <c r="C137" s="27"/>
      <c r="D137" s="27"/>
      <c r="E137" s="27"/>
      <c r="F137" s="27"/>
      <c r="G137" s="27"/>
      <c r="H137" s="27"/>
      <c r="I137" s="27"/>
    </row>
    <row r="138" spans="2:9" x14ac:dyDescent="0.2">
      <c r="B138"/>
      <c r="C138" s="27"/>
      <c r="D138" s="27"/>
      <c r="E138" s="27"/>
      <c r="F138" s="27"/>
      <c r="G138" s="27"/>
      <c r="H138" s="27"/>
      <c r="I138" s="27"/>
    </row>
    <row r="139" spans="2:9" x14ac:dyDescent="0.2">
      <c r="B139"/>
      <c r="C139" s="27"/>
      <c r="D139" s="27"/>
      <c r="E139" s="27"/>
      <c r="F139" s="27"/>
      <c r="G139" s="27"/>
      <c r="H139" s="27"/>
      <c r="I139" s="27"/>
    </row>
    <row r="140" spans="2:9" x14ac:dyDescent="0.2">
      <c r="B140"/>
      <c r="C140" s="27"/>
      <c r="D140" s="27"/>
      <c r="E140" s="27"/>
      <c r="F140" s="27"/>
      <c r="G140" s="27"/>
      <c r="H140" s="27"/>
      <c r="I140" s="27"/>
    </row>
    <row r="141" spans="2:9" x14ac:dyDescent="0.2">
      <c r="B141"/>
      <c r="C141" s="27"/>
      <c r="D141" s="27"/>
      <c r="E141" s="27"/>
      <c r="F141" s="27"/>
      <c r="G141" s="27"/>
      <c r="H141" s="27"/>
      <c r="I141" s="27"/>
    </row>
    <row r="142" spans="2:9" x14ac:dyDescent="0.2">
      <c r="B142"/>
      <c r="C142" s="27"/>
      <c r="D142" s="27"/>
      <c r="E142" s="27"/>
      <c r="F142" s="27"/>
      <c r="G142" s="27"/>
      <c r="H142" s="27"/>
      <c r="I142" s="27"/>
    </row>
    <row r="143" spans="2:9" x14ac:dyDescent="0.2">
      <c r="B143"/>
      <c r="C143" s="27"/>
      <c r="D143" s="27"/>
      <c r="E143" s="27"/>
      <c r="F143" s="27"/>
      <c r="G143" s="27"/>
      <c r="H143" s="27"/>
      <c r="I143" s="27"/>
    </row>
    <row r="144" spans="2:9" x14ac:dyDescent="0.2">
      <c r="B144"/>
      <c r="C144" s="27"/>
      <c r="D144" s="27"/>
      <c r="E144" s="27"/>
      <c r="F144" s="27"/>
      <c r="G144" s="27"/>
      <c r="H144" s="27"/>
      <c r="I144" s="27"/>
    </row>
    <row r="145" spans="2:9" x14ac:dyDescent="0.2">
      <c r="B145"/>
      <c r="C145" s="27"/>
      <c r="D145" s="27"/>
      <c r="E145" s="27"/>
      <c r="F145" s="27"/>
      <c r="G145" s="27"/>
      <c r="H145" s="27"/>
      <c r="I145" s="27"/>
    </row>
    <row r="146" spans="2:9" x14ac:dyDescent="0.2">
      <c r="B146"/>
      <c r="C146" s="27"/>
      <c r="D146" s="27"/>
      <c r="E146" s="27"/>
      <c r="F146" s="27"/>
      <c r="G146" s="27"/>
      <c r="H146" s="27"/>
      <c r="I146" s="27"/>
    </row>
    <row r="147" spans="2:9" x14ac:dyDescent="0.2">
      <c r="B147"/>
      <c r="C147" s="27"/>
      <c r="D147" s="27"/>
      <c r="E147" s="27"/>
      <c r="F147" s="27"/>
      <c r="G147" s="27"/>
      <c r="H147" s="27"/>
      <c r="I147" s="27"/>
    </row>
    <row r="148" spans="2:9" x14ac:dyDescent="0.2">
      <c r="B148"/>
      <c r="C148" s="27"/>
      <c r="D148" s="27"/>
      <c r="E148" s="27"/>
      <c r="F148" s="27"/>
      <c r="G148" s="27"/>
      <c r="H148" s="27"/>
      <c r="I148" s="27"/>
    </row>
    <row r="149" spans="2:9" x14ac:dyDescent="0.2">
      <c r="B149"/>
      <c r="C149" s="27"/>
      <c r="D149" s="27"/>
      <c r="E149" s="27"/>
      <c r="F149" s="27"/>
      <c r="G149" s="27"/>
      <c r="H149" s="27"/>
      <c r="I149" s="27"/>
    </row>
    <row r="150" spans="2:9" x14ac:dyDescent="0.2">
      <c r="B150"/>
      <c r="C150" s="27"/>
      <c r="D150" s="27"/>
      <c r="E150" s="27"/>
      <c r="F150" s="27"/>
      <c r="G150" s="27"/>
      <c r="H150" s="27"/>
      <c r="I150" s="27"/>
    </row>
    <row r="151" spans="2:9" x14ac:dyDescent="0.2">
      <c r="B151"/>
      <c r="C151" s="27"/>
      <c r="D151" s="27"/>
      <c r="E151" s="27"/>
      <c r="F151" s="27"/>
      <c r="G151" s="27"/>
      <c r="H151" s="27"/>
      <c r="I151" s="27"/>
    </row>
    <row r="152" spans="2:9" x14ac:dyDescent="0.2">
      <c r="B152"/>
      <c r="C152" s="27"/>
      <c r="D152" s="27"/>
      <c r="E152" s="27"/>
      <c r="F152" s="27"/>
      <c r="G152" s="27"/>
      <c r="H152" s="27"/>
      <c r="I152" s="27"/>
    </row>
    <row r="153" spans="2:9" x14ac:dyDescent="0.2">
      <c r="B153"/>
      <c r="C153" s="27"/>
      <c r="D153" s="27"/>
      <c r="E153" s="27"/>
      <c r="F153" s="27"/>
      <c r="G153" s="27"/>
      <c r="H153" s="27"/>
      <c r="I153" s="27"/>
    </row>
    <row r="154" spans="2:9" x14ac:dyDescent="0.2">
      <c r="B154"/>
      <c r="C154" s="27"/>
      <c r="D154" s="27"/>
      <c r="E154" s="27"/>
      <c r="F154" s="27"/>
      <c r="G154" s="27"/>
      <c r="H154" s="27"/>
      <c r="I154" s="27"/>
    </row>
    <row r="155" spans="2:9" x14ac:dyDescent="0.2">
      <c r="B155"/>
      <c r="C155" s="27"/>
      <c r="D155" s="27"/>
      <c r="E155" s="27"/>
      <c r="F155" s="27"/>
      <c r="G155" s="27"/>
      <c r="H155" s="27"/>
      <c r="I155" s="27"/>
    </row>
    <row r="156" spans="2:9" x14ac:dyDescent="0.2">
      <c r="B156"/>
      <c r="C156" s="27"/>
      <c r="D156" s="27"/>
      <c r="E156" s="27"/>
      <c r="F156" s="27"/>
      <c r="G156" s="27"/>
      <c r="H156" s="27"/>
      <c r="I156" s="27"/>
    </row>
    <row r="157" spans="2:9" x14ac:dyDescent="0.2">
      <c r="B157"/>
      <c r="C157" s="27"/>
      <c r="D157" s="27"/>
      <c r="E157" s="27"/>
      <c r="F157" s="27"/>
      <c r="G157" s="27"/>
      <c r="H157" s="27"/>
      <c r="I157" s="27"/>
    </row>
    <row r="158" spans="2:9" x14ac:dyDescent="0.2">
      <c r="B158"/>
      <c r="C158" s="27"/>
      <c r="D158" s="27"/>
      <c r="E158" s="27"/>
      <c r="F158" s="27"/>
      <c r="G158" s="27"/>
      <c r="H158" s="27"/>
      <c r="I158" s="27"/>
    </row>
    <row r="159" spans="2:9" x14ac:dyDescent="0.2">
      <c r="B159"/>
      <c r="C159" s="27"/>
      <c r="D159" s="27"/>
      <c r="E159" s="27"/>
      <c r="F159" s="27"/>
      <c r="G159" s="27"/>
      <c r="H159" s="27"/>
      <c r="I159" s="27"/>
    </row>
    <row r="160" spans="2:9" x14ac:dyDescent="0.2">
      <c r="B160"/>
      <c r="C160" s="27"/>
      <c r="D160" s="27"/>
      <c r="E160" s="27"/>
      <c r="F160" s="27"/>
      <c r="G160" s="27"/>
      <c r="H160" s="27"/>
      <c r="I160" s="27"/>
    </row>
    <row r="161" spans="2:9" x14ac:dyDescent="0.2">
      <c r="B161"/>
      <c r="C161" s="27"/>
      <c r="D161" s="27"/>
      <c r="E161" s="27"/>
      <c r="F161" s="27"/>
      <c r="G161" s="27"/>
      <c r="H161" s="27"/>
      <c r="I161" s="27"/>
    </row>
    <row r="162" spans="2:9" x14ac:dyDescent="0.2">
      <c r="B162"/>
      <c r="C162" s="27"/>
      <c r="D162" s="27"/>
      <c r="E162" s="27"/>
      <c r="F162" s="27"/>
      <c r="G162" s="27"/>
      <c r="H162" s="27"/>
      <c r="I162" s="27"/>
    </row>
    <row r="163" spans="2:9" x14ac:dyDescent="0.2">
      <c r="B163"/>
      <c r="C163" s="27"/>
      <c r="D163" s="27"/>
      <c r="E163" s="27"/>
      <c r="F163" s="27"/>
      <c r="G163" s="27"/>
      <c r="H163" s="27"/>
      <c r="I163" s="27"/>
    </row>
    <row r="164" spans="2:9" x14ac:dyDescent="0.2">
      <c r="B164"/>
      <c r="C164" s="27"/>
      <c r="D164" s="27"/>
      <c r="E164" s="27"/>
      <c r="F164" s="27"/>
      <c r="G164" s="27"/>
      <c r="H164" s="27"/>
      <c r="I164" s="27"/>
    </row>
    <row r="165" spans="2:9" x14ac:dyDescent="0.2">
      <c r="B165"/>
      <c r="C165" s="27"/>
      <c r="D165" s="27"/>
      <c r="E165" s="27"/>
      <c r="F165" s="27"/>
      <c r="G165" s="27"/>
      <c r="H165" s="27"/>
      <c r="I165" s="27"/>
    </row>
    <row r="166" spans="2:9" x14ac:dyDescent="0.2">
      <c r="B166"/>
      <c r="C166" s="27"/>
      <c r="D166" s="27"/>
      <c r="E166" s="27"/>
      <c r="F166" s="27"/>
      <c r="G166" s="27"/>
      <c r="H166" s="27"/>
      <c r="I166" s="27"/>
    </row>
    <row r="167" spans="2:9" x14ac:dyDescent="0.2">
      <c r="B167"/>
      <c r="C167" s="27"/>
      <c r="D167" s="27"/>
      <c r="E167" s="27"/>
      <c r="F167" s="27"/>
      <c r="G167" s="27"/>
      <c r="H167" s="27"/>
      <c r="I167" s="27"/>
    </row>
    <row r="168" spans="2:9" x14ac:dyDescent="0.2">
      <c r="B168"/>
      <c r="C168" s="27"/>
      <c r="D168" s="27"/>
      <c r="E168" s="27"/>
      <c r="F168" s="27"/>
      <c r="G168" s="27"/>
      <c r="H168" s="27"/>
      <c r="I168" s="27"/>
    </row>
    <row r="169" spans="2:9" x14ac:dyDescent="0.2">
      <c r="B169"/>
      <c r="C169" s="27"/>
      <c r="D169" s="27"/>
      <c r="E169" s="27"/>
      <c r="F169" s="27"/>
      <c r="G169" s="27"/>
      <c r="H169" s="27"/>
      <c r="I169" s="27"/>
    </row>
    <row r="170" spans="2:9" x14ac:dyDescent="0.2">
      <c r="B170"/>
      <c r="C170" s="27"/>
      <c r="D170" s="27"/>
      <c r="E170" s="27"/>
      <c r="F170" s="27"/>
      <c r="G170" s="27"/>
      <c r="H170" s="27"/>
      <c r="I170" s="27"/>
    </row>
    <row r="171" spans="2:9" x14ac:dyDescent="0.2">
      <c r="B171"/>
      <c r="C171" s="27"/>
      <c r="D171" s="27"/>
      <c r="E171" s="27"/>
      <c r="F171" s="27"/>
      <c r="G171" s="27"/>
      <c r="H171" s="27"/>
      <c r="I171" s="27"/>
    </row>
    <row r="172" spans="2:9" x14ac:dyDescent="0.2">
      <c r="B172"/>
      <c r="C172" s="27"/>
      <c r="D172" s="27"/>
      <c r="E172" s="27"/>
      <c r="F172" s="27"/>
      <c r="G172" s="27"/>
      <c r="H172" s="27"/>
      <c r="I172" s="27"/>
    </row>
    <row r="173" spans="2:9" x14ac:dyDescent="0.2">
      <c r="B173"/>
      <c r="C173" s="27"/>
      <c r="D173" s="27"/>
      <c r="E173" s="27"/>
      <c r="F173" s="27"/>
      <c r="G173" s="27"/>
      <c r="H173" s="27"/>
      <c r="I173" s="27"/>
    </row>
    <row r="174" spans="2:9" x14ac:dyDescent="0.2">
      <c r="B174"/>
      <c r="C174" s="27"/>
      <c r="D174" s="27"/>
      <c r="E174" s="27"/>
      <c r="F174" s="27"/>
      <c r="G174" s="27"/>
      <c r="H174" s="27"/>
      <c r="I174" s="27"/>
    </row>
    <row r="175" spans="2:9" x14ac:dyDescent="0.2">
      <c r="B175"/>
      <c r="C175" s="27"/>
      <c r="D175" s="27"/>
      <c r="E175" s="27"/>
      <c r="F175" s="27"/>
      <c r="G175" s="27"/>
      <c r="H175" s="27"/>
      <c r="I175" s="27"/>
    </row>
    <row r="176" spans="2:9" x14ac:dyDescent="0.2">
      <c r="B176"/>
      <c r="C176" s="27"/>
      <c r="D176" s="27"/>
      <c r="E176" s="27"/>
      <c r="F176" s="27"/>
      <c r="G176" s="27"/>
      <c r="H176" s="27"/>
      <c r="I176" s="27"/>
    </row>
    <row r="177" spans="2:9" x14ac:dyDescent="0.2">
      <c r="B177"/>
      <c r="C177" s="27"/>
      <c r="D177" s="27"/>
      <c r="E177" s="27"/>
      <c r="F177" s="27"/>
      <c r="G177" s="27"/>
      <c r="H177" s="27"/>
      <c r="I177" s="27"/>
    </row>
    <row r="178" spans="2:9" x14ac:dyDescent="0.2">
      <c r="B178"/>
      <c r="C178" s="27"/>
      <c r="D178" s="27"/>
      <c r="E178" s="27"/>
      <c r="F178" s="27"/>
      <c r="G178" s="27"/>
      <c r="H178" s="27"/>
      <c r="I178" s="27"/>
    </row>
    <row r="179" spans="2:9" x14ac:dyDescent="0.2">
      <c r="B179"/>
      <c r="C179" s="27"/>
      <c r="D179" s="27"/>
      <c r="E179" s="27"/>
      <c r="F179" s="27"/>
      <c r="G179" s="27"/>
      <c r="H179" s="27"/>
      <c r="I179" s="27"/>
    </row>
    <row r="180" spans="2:9" x14ac:dyDescent="0.2">
      <c r="B180"/>
      <c r="C180" s="27"/>
      <c r="D180" s="27"/>
      <c r="E180" s="27"/>
      <c r="F180" s="27"/>
      <c r="G180" s="27"/>
      <c r="H180" s="27"/>
      <c r="I180" s="27"/>
    </row>
    <row r="181" spans="2:9" x14ac:dyDescent="0.2">
      <c r="B181"/>
      <c r="C181" s="27"/>
      <c r="D181" s="27"/>
      <c r="E181" s="27"/>
      <c r="F181" s="27"/>
      <c r="G181" s="27"/>
      <c r="H181" s="27"/>
      <c r="I181" s="27"/>
    </row>
    <row r="182" spans="2:9" x14ac:dyDescent="0.2">
      <c r="B182"/>
      <c r="C182" s="27"/>
      <c r="D182" s="27"/>
      <c r="E182" s="27"/>
      <c r="F182" s="27"/>
      <c r="G182" s="27"/>
      <c r="H182" s="27"/>
      <c r="I182" s="27"/>
    </row>
    <row r="183" spans="2:9" x14ac:dyDescent="0.2">
      <c r="B183"/>
      <c r="C183" s="27"/>
      <c r="D183" s="27"/>
      <c r="E183" s="27"/>
      <c r="F183" s="27"/>
      <c r="G183" s="27"/>
      <c r="H183" s="27"/>
      <c r="I183" s="27"/>
    </row>
    <row r="184" spans="2:9" x14ac:dyDescent="0.2">
      <c r="B184"/>
      <c r="C184" s="27"/>
      <c r="D184" s="27"/>
      <c r="E184" s="27"/>
      <c r="F184" s="27"/>
      <c r="G184" s="27"/>
      <c r="H184" s="27"/>
      <c r="I184" s="27"/>
    </row>
    <row r="185" spans="2:9" x14ac:dyDescent="0.2">
      <c r="B185"/>
      <c r="C185" s="27"/>
      <c r="D185" s="27"/>
      <c r="E185" s="27"/>
      <c r="F185" s="27"/>
      <c r="G185" s="27"/>
      <c r="H185" s="27"/>
      <c r="I185" s="27"/>
    </row>
    <row r="186" spans="2:9" x14ac:dyDescent="0.2">
      <c r="B186"/>
      <c r="C186" s="27"/>
      <c r="D186" s="27"/>
      <c r="E186" s="27"/>
      <c r="F186" s="27"/>
      <c r="G186" s="27"/>
      <c r="H186" s="27"/>
      <c r="I186" s="27"/>
    </row>
    <row r="187" spans="2:9" x14ac:dyDescent="0.2">
      <c r="B187"/>
      <c r="C187" s="27"/>
      <c r="D187" s="27"/>
      <c r="E187" s="27"/>
      <c r="F187" s="27"/>
      <c r="G187" s="27"/>
      <c r="H187" s="27"/>
      <c r="I187" s="27"/>
    </row>
    <row r="188" spans="2:9" x14ac:dyDescent="0.2">
      <c r="B188"/>
      <c r="C188" s="27"/>
      <c r="D188" s="27"/>
      <c r="E188" s="27"/>
      <c r="F188" s="27"/>
      <c r="G188" s="27"/>
      <c r="H188" s="27"/>
      <c r="I188" s="27"/>
    </row>
    <row r="189" spans="2:9" x14ac:dyDescent="0.2">
      <c r="B189"/>
      <c r="C189" s="27"/>
      <c r="D189" s="27"/>
      <c r="E189" s="27"/>
      <c r="F189" s="27"/>
      <c r="G189" s="27"/>
      <c r="H189" s="27"/>
      <c r="I189" s="27"/>
    </row>
  </sheetData>
  <mergeCells count="1">
    <mergeCell ref="A1:K1"/>
  </mergeCells>
  <phoneticPr fontId="0" type="noConversion"/>
  <pageMargins left="0" right="0" top="0" bottom="0" header="0" footer="0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workbookViewId="0">
      <selection activeCell="I16" sqref="I16"/>
    </sheetView>
  </sheetViews>
  <sheetFormatPr defaultColWidth="10" defaultRowHeight="12.75" x14ac:dyDescent="0.2"/>
  <cols>
    <col min="1" max="1" width="8.28515625" style="2" customWidth="1"/>
    <col min="2" max="2" width="36.7109375" style="2" customWidth="1"/>
    <col min="3" max="3" width="17" style="26" customWidth="1"/>
    <col min="4" max="4" width="2.140625" style="26" customWidth="1"/>
    <col min="5" max="5" width="17" style="26" customWidth="1"/>
    <col min="6" max="6" width="2.28515625" style="26" customWidth="1"/>
    <col min="7" max="7" width="15" style="26" customWidth="1"/>
    <col min="8" max="8" width="2.28515625" style="26" customWidth="1"/>
    <col min="9" max="9" width="15" style="26" customWidth="1"/>
    <col min="10" max="10" width="2.28515625" customWidth="1"/>
    <col min="11" max="11" width="10" style="233" customWidth="1"/>
    <col min="12" max="12" width="15" style="2" customWidth="1"/>
    <col min="13" max="16384" width="10" style="2"/>
  </cols>
  <sheetData>
    <row r="1" spans="1:11" x14ac:dyDescent="0.2">
      <c r="A1" s="326" t="s">
        <v>210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1" x14ac:dyDescent="0.2">
      <c r="A2" s="151"/>
      <c r="B2" s="151"/>
      <c r="C2" s="151"/>
      <c r="D2" s="151"/>
      <c r="E2" s="151"/>
      <c r="F2" s="151"/>
      <c r="G2" s="151"/>
      <c r="H2" s="151"/>
      <c r="I2" s="151"/>
    </row>
    <row r="3" spans="1:11" x14ac:dyDescent="0.2">
      <c r="C3" s="42" t="str">
        <f>cover!C6</f>
        <v>APPROVED</v>
      </c>
      <c r="D3" s="42"/>
      <c r="E3" s="42" t="str">
        <f>cover!E6</f>
        <v xml:space="preserve"> </v>
      </c>
      <c r="F3" s="42"/>
      <c r="G3" s="42" t="str">
        <f>cover!G6</f>
        <v>APPROVED</v>
      </c>
      <c r="H3" s="42"/>
      <c r="I3" s="42" t="str">
        <f>cover!I6</f>
        <v>REQUESTED</v>
      </c>
      <c r="J3" s="37"/>
      <c r="K3" s="126" t="str">
        <f>cover!K6</f>
        <v>PERCENT</v>
      </c>
    </row>
    <row r="4" spans="1:11" x14ac:dyDescent="0.2">
      <c r="C4" s="42" t="str">
        <f>cover!C7</f>
        <v>BUDGET</v>
      </c>
      <c r="D4" s="42"/>
      <c r="E4" s="42" t="str">
        <f>cover!E7</f>
        <v>ACTUAL</v>
      </c>
      <c r="F4" s="42"/>
      <c r="G4" s="42" t="str">
        <f>cover!G7</f>
        <v>BUDGET</v>
      </c>
      <c r="H4" s="42"/>
      <c r="I4" s="42" t="str">
        <f>cover!I7</f>
        <v>BUDGET</v>
      </c>
      <c r="J4" s="37"/>
      <c r="K4" s="126" t="str">
        <f>cover!K7</f>
        <v>CHANGE</v>
      </c>
    </row>
    <row r="5" spans="1:11" x14ac:dyDescent="0.2">
      <c r="A5" s="297"/>
      <c r="B5" s="297"/>
      <c r="C5" s="292" t="str">
        <f>cover!C8</f>
        <v>2010-11</v>
      </c>
      <c r="D5" s="292"/>
      <c r="E5" s="292" t="str">
        <f>cover!E8</f>
        <v>2010-11</v>
      </c>
      <c r="F5" s="292"/>
      <c r="G5" s="292" t="str">
        <f>cover!G8</f>
        <v>2011 -12</v>
      </c>
      <c r="H5" s="292"/>
      <c r="I5" s="292" t="str">
        <f>cover!I8</f>
        <v>2012 -13</v>
      </c>
      <c r="J5" s="293"/>
      <c r="K5" s="294" t="str">
        <f>cover!K8</f>
        <v>FY12/FY13</v>
      </c>
    </row>
    <row r="6" spans="1:11" x14ac:dyDescent="0.2">
      <c r="A6" s="2" t="s">
        <v>19</v>
      </c>
      <c r="C6" s="28"/>
      <c r="D6" s="28"/>
      <c r="E6" s="28"/>
      <c r="F6" s="28"/>
      <c r="G6" s="28"/>
      <c r="H6" s="28"/>
      <c r="I6" s="28"/>
      <c r="J6" s="104"/>
    </row>
    <row r="7" spans="1:11" x14ac:dyDescent="0.2">
      <c r="B7" s="2" t="s">
        <v>213</v>
      </c>
      <c r="C7" s="71">
        <v>103750</v>
      </c>
      <c r="D7" s="115"/>
      <c r="E7" s="115">
        <v>98943.75</v>
      </c>
      <c r="F7" s="115"/>
      <c r="G7" s="71">
        <v>103750</v>
      </c>
      <c r="H7" s="71"/>
      <c r="I7" s="71">
        <v>111750</v>
      </c>
      <c r="J7" s="100"/>
      <c r="K7" s="270">
        <f>+(I7-G7)/G7</f>
        <v>7.7108433734939766E-2</v>
      </c>
    </row>
    <row r="8" spans="1:11" x14ac:dyDescent="0.2">
      <c r="B8" s="2" t="s">
        <v>212</v>
      </c>
      <c r="C8" s="43">
        <v>85075</v>
      </c>
      <c r="E8" s="26">
        <v>81817.09</v>
      </c>
      <c r="G8" s="43">
        <v>85075</v>
      </c>
      <c r="H8" s="43"/>
      <c r="I8" s="43">
        <v>85075</v>
      </c>
      <c r="J8" s="100"/>
      <c r="K8" s="270">
        <f t="shared" ref="K8:K10" si="0">+(I8-G8)/G8</f>
        <v>0</v>
      </c>
    </row>
    <row r="9" spans="1:11" x14ac:dyDescent="0.2">
      <c r="B9" s="2" t="s">
        <v>275</v>
      </c>
      <c r="C9" s="43">
        <v>100</v>
      </c>
      <c r="E9" s="26">
        <v>99.61</v>
      </c>
      <c r="G9" s="43">
        <v>100</v>
      </c>
      <c r="H9" s="43"/>
      <c r="I9" s="43">
        <v>100</v>
      </c>
      <c r="J9" s="100"/>
      <c r="K9" s="270">
        <f t="shared" si="0"/>
        <v>0</v>
      </c>
    </row>
    <row r="10" spans="1:11" x14ac:dyDescent="0.2">
      <c r="B10" s="2" t="s">
        <v>211</v>
      </c>
      <c r="C10" s="43">
        <v>76100</v>
      </c>
      <c r="E10" s="26">
        <v>84102.16</v>
      </c>
      <c r="G10" s="43">
        <v>76100</v>
      </c>
      <c r="H10" s="43"/>
      <c r="I10" s="43">
        <v>76100</v>
      </c>
      <c r="J10" s="100"/>
      <c r="K10" s="270">
        <f t="shared" si="0"/>
        <v>0</v>
      </c>
    </row>
    <row r="11" spans="1:11" x14ac:dyDescent="0.2">
      <c r="B11" s="12" t="s">
        <v>35</v>
      </c>
      <c r="C11" s="74">
        <f>SUM(C7:C10)</f>
        <v>265025</v>
      </c>
      <c r="E11" s="161">
        <f>SUM(E7:E10)</f>
        <v>264962.61</v>
      </c>
      <c r="G11" s="74">
        <f>SUM(G7:G10)</f>
        <v>265025</v>
      </c>
      <c r="H11" s="43"/>
      <c r="I11" s="74">
        <f>SUM(I7:I10)</f>
        <v>273025</v>
      </c>
      <c r="J11" s="100"/>
      <c r="K11" s="272">
        <f>+(I11-G11)/G11</f>
        <v>3.0185831525327798E-2</v>
      </c>
    </row>
    <row r="12" spans="1:11" x14ac:dyDescent="0.2">
      <c r="B12" s="12"/>
      <c r="G12" s="43"/>
      <c r="H12" s="43"/>
      <c r="I12" s="43"/>
      <c r="J12" s="100"/>
      <c r="K12" s="253"/>
    </row>
    <row r="13" spans="1:11" x14ac:dyDescent="0.2">
      <c r="A13" s="2" t="s">
        <v>37</v>
      </c>
      <c r="G13" s="43"/>
      <c r="H13" s="43"/>
      <c r="I13" s="43"/>
      <c r="J13" s="100"/>
      <c r="K13" s="253"/>
    </row>
    <row r="14" spans="1:11" hidden="1" x14ac:dyDescent="0.2">
      <c r="A14" s="258"/>
      <c r="B14" s="258" t="s">
        <v>174</v>
      </c>
      <c r="C14" s="262">
        <v>0</v>
      </c>
      <c r="D14" s="263"/>
      <c r="E14" s="263"/>
      <c r="F14" s="263"/>
      <c r="G14" s="262">
        <v>0</v>
      </c>
      <c r="H14" s="262"/>
      <c r="I14" s="262">
        <v>0</v>
      </c>
      <c r="J14" s="260"/>
      <c r="K14" s="264"/>
    </row>
    <row r="15" spans="1:11" ht="12.75" hidden="1" customHeight="1" x14ac:dyDescent="0.2">
      <c r="A15" s="258"/>
      <c r="B15" s="258" t="s">
        <v>214</v>
      </c>
      <c r="C15" s="262">
        <v>0</v>
      </c>
      <c r="D15" s="263"/>
      <c r="E15" s="263"/>
      <c r="F15" s="263"/>
      <c r="G15" s="262">
        <v>0</v>
      </c>
      <c r="H15" s="262"/>
      <c r="I15" s="262">
        <v>0</v>
      </c>
      <c r="J15" s="260"/>
      <c r="K15" s="264"/>
    </row>
    <row r="16" spans="1:11" x14ac:dyDescent="0.2">
      <c r="B16" s="2" t="s">
        <v>215</v>
      </c>
      <c r="C16" s="43">
        <v>75659</v>
      </c>
      <c r="E16" s="26">
        <v>93382.43</v>
      </c>
      <c r="G16" s="43">
        <f>90000-5000</f>
        <v>85000</v>
      </c>
      <c r="H16" s="43"/>
      <c r="I16" s="43">
        <f>93382.43+(93382.43*0.03)</f>
        <v>96183.902899999986</v>
      </c>
      <c r="J16" s="100"/>
      <c r="K16" s="270">
        <f>+(I16-G16)/G16</f>
        <v>0.13157532823529397</v>
      </c>
    </row>
    <row r="17" spans="1:11" x14ac:dyDescent="0.2">
      <c r="B17" s="12" t="s">
        <v>23</v>
      </c>
      <c r="C17" s="74">
        <f>SUM(C14:C16)</f>
        <v>75659</v>
      </c>
      <c r="E17" s="161">
        <f>SUM(E14:E16)</f>
        <v>93382.43</v>
      </c>
      <c r="G17" s="74">
        <f>SUM(G14:G16)</f>
        <v>85000</v>
      </c>
      <c r="H17" s="43"/>
      <c r="I17" s="74">
        <f>SUM(I14:I16)</f>
        <v>96183.902899999986</v>
      </c>
      <c r="J17" s="100"/>
      <c r="K17" s="272">
        <f>+(I17-G17)/G17</f>
        <v>0.13157532823529397</v>
      </c>
    </row>
    <row r="18" spans="1:11" x14ac:dyDescent="0.2">
      <c r="B18" s="12"/>
      <c r="G18" s="43"/>
      <c r="H18" s="43"/>
      <c r="I18" s="43"/>
      <c r="J18" s="100"/>
      <c r="K18" s="253"/>
    </row>
    <row r="19" spans="1:11" x14ac:dyDescent="0.2">
      <c r="A19" s="2" t="s">
        <v>24</v>
      </c>
      <c r="G19" s="43"/>
      <c r="H19" s="43"/>
      <c r="I19" s="43"/>
      <c r="J19" s="100"/>
      <c r="K19" s="253"/>
    </row>
    <row r="20" spans="1:11" x14ac:dyDescent="0.2">
      <c r="B20" s="2" t="s">
        <v>175</v>
      </c>
      <c r="C20" s="43">
        <v>2269</v>
      </c>
      <c r="E20" s="26">
        <v>2103.4499999999998</v>
      </c>
      <c r="G20" s="43">
        <f>G16*0.03</f>
        <v>2550</v>
      </c>
      <c r="H20" s="43"/>
      <c r="I20" s="43">
        <f>+I16*0.03</f>
        <v>2885.5170869999993</v>
      </c>
      <c r="J20" s="100"/>
      <c r="K20" s="270">
        <f>+(I20-G20)/G20</f>
        <v>0.13157532823529383</v>
      </c>
    </row>
    <row r="21" spans="1:11" x14ac:dyDescent="0.2">
      <c r="B21" s="12" t="s">
        <v>38</v>
      </c>
      <c r="C21" s="74">
        <f>SUM(C20:C20)</f>
        <v>2269</v>
      </c>
      <c r="E21" s="41">
        <f>SUM(E20:E20)</f>
        <v>2103.4499999999998</v>
      </c>
      <c r="G21" s="74">
        <f>SUM(G20:G20)</f>
        <v>2550</v>
      </c>
      <c r="H21" s="43"/>
      <c r="I21" s="74">
        <f>SUM(I20:I20)</f>
        <v>2885.5170869999993</v>
      </c>
      <c r="J21" s="100"/>
      <c r="K21" s="272">
        <f>+(I21-G21)/G21</f>
        <v>0.13157532823529383</v>
      </c>
    </row>
    <row r="22" spans="1:11" x14ac:dyDescent="0.2">
      <c r="C22" s="43"/>
      <c r="G22" s="43"/>
      <c r="H22" s="43"/>
      <c r="I22" s="43"/>
      <c r="J22" s="100"/>
      <c r="K22" s="253"/>
    </row>
    <row r="23" spans="1:11" x14ac:dyDescent="0.2">
      <c r="A23" s="2" t="s">
        <v>27</v>
      </c>
      <c r="C23" s="43"/>
      <c r="G23" s="43"/>
      <c r="H23" s="43"/>
      <c r="I23" s="43"/>
      <c r="J23" s="288"/>
      <c r="K23" s="253"/>
    </row>
    <row r="24" spans="1:11" x14ac:dyDescent="0.2">
      <c r="B24" s="13" t="s">
        <v>199</v>
      </c>
      <c r="C24" s="43">
        <v>10225</v>
      </c>
      <c r="E24" s="26">
        <v>10526.17</v>
      </c>
      <c r="G24" s="43">
        <v>10430</v>
      </c>
      <c r="H24" s="43"/>
      <c r="I24" s="43">
        <v>10639</v>
      </c>
      <c r="J24" s="100"/>
      <c r="K24" s="270">
        <f t="shared" ref="K24:K26" si="1">+(I24-G24)/G24</f>
        <v>2.0038350910834134E-2</v>
      </c>
    </row>
    <row r="25" spans="1:11" x14ac:dyDescent="0.2">
      <c r="B25" s="13" t="s">
        <v>216</v>
      </c>
      <c r="C25" s="43">
        <v>11575</v>
      </c>
      <c r="E25" s="26">
        <v>11932.42</v>
      </c>
      <c r="G25" s="43">
        <v>15271</v>
      </c>
      <c r="H25" s="43"/>
      <c r="I25" s="43">
        <v>15271</v>
      </c>
      <c r="J25" s="100"/>
      <c r="K25" s="270">
        <f t="shared" si="1"/>
        <v>0</v>
      </c>
    </row>
    <row r="26" spans="1:11" x14ac:dyDescent="0.2">
      <c r="B26" s="13" t="s">
        <v>178</v>
      </c>
      <c r="C26" s="43">
        <v>6120</v>
      </c>
      <c r="E26" s="26">
        <v>9174.86</v>
      </c>
      <c r="G26" s="43">
        <v>6120</v>
      </c>
      <c r="H26" s="43"/>
      <c r="I26" s="43">
        <v>9175</v>
      </c>
      <c r="J26" s="100"/>
      <c r="K26" s="270">
        <f t="shared" si="1"/>
        <v>0.49918300653594772</v>
      </c>
    </row>
    <row r="27" spans="1:11" x14ac:dyDescent="0.2">
      <c r="B27" s="13" t="s">
        <v>179</v>
      </c>
      <c r="C27" s="43">
        <v>0</v>
      </c>
      <c r="E27" s="26">
        <v>1208.72</v>
      </c>
      <c r="G27" s="43">
        <v>0</v>
      </c>
      <c r="H27" s="43"/>
      <c r="I27" s="43">
        <f>+E27+(E27*0.02)</f>
        <v>1232.8944000000001</v>
      </c>
      <c r="J27" s="100"/>
      <c r="K27" s="270">
        <v>1</v>
      </c>
    </row>
    <row r="28" spans="1:11" ht="14.25" customHeight="1" x14ac:dyDescent="0.2">
      <c r="B28" s="2" t="s">
        <v>217</v>
      </c>
      <c r="C28" s="43">
        <v>7750</v>
      </c>
      <c r="E28" s="26">
        <v>2564.65</v>
      </c>
      <c r="G28" s="43">
        <v>7750</v>
      </c>
      <c r="H28" s="43"/>
      <c r="I28" s="43">
        <v>3905</v>
      </c>
      <c r="J28" s="100"/>
      <c r="K28" s="270">
        <f>+(I28-G28)/G28</f>
        <v>-0.49612903225806454</v>
      </c>
    </row>
    <row r="29" spans="1:11" ht="15" customHeight="1" x14ac:dyDescent="0.2">
      <c r="B29" s="2" t="s">
        <v>181</v>
      </c>
      <c r="C29" s="43">
        <v>0</v>
      </c>
      <c r="E29" s="26">
        <v>10145.77</v>
      </c>
      <c r="G29" s="43">
        <v>0</v>
      </c>
      <c r="H29" s="43"/>
      <c r="I29" s="43">
        <v>5000</v>
      </c>
      <c r="J29" s="100"/>
      <c r="K29" s="270">
        <v>1</v>
      </c>
    </row>
    <row r="30" spans="1:11" ht="15" customHeight="1" x14ac:dyDescent="0.2">
      <c r="B30" s="2" t="s">
        <v>219</v>
      </c>
      <c r="C30" s="43">
        <v>39503</v>
      </c>
      <c r="E30" s="26">
        <v>38837</v>
      </c>
      <c r="G30" s="43">
        <v>39503</v>
      </c>
      <c r="H30" s="43"/>
      <c r="I30" s="43">
        <v>39503</v>
      </c>
      <c r="J30" s="100"/>
      <c r="K30" s="270">
        <f t="shared" ref="K30:K31" si="2">+(I30-G30)/G30</f>
        <v>0</v>
      </c>
    </row>
    <row r="31" spans="1:11" x14ac:dyDescent="0.2">
      <c r="B31" s="2" t="s">
        <v>218</v>
      </c>
      <c r="C31" s="43">
        <v>14157</v>
      </c>
      <c r="E31" s="26">
        <v>21990</v>
      </c>
      <c r="G31" s="43">
        <v>14157</v>
      </c>
      <c r="H31" s="43"/>
      <c r="I31" s="43">
        <v>14440</v>
      </c>
      <c r="J31" s="100"/>
      <c r="K31" s="270">
        <f t="shared" si="2"/>
        <v>1.9990110899201809E-2</v>
      </c>
    </row>
    <row r="32" spans="1:11" x14ac:dyDescent="0.2">
      <c r="B32" s="12" t="s">
        <v>76</v>
      </c>
      <c r="C32" s="74">
        <f>SUM(C24:C31)</f>
        <v>89330</v>
      </c>
      <c r="E32" s="161">
        <f>SUM(E24:E31)</f>
        <v>106379.59</v>
      </c>
      <c r="G32" s="74">
        <f>SUM(G24:G31)</f>
        <v>93231</v>
      </c>
      <c r="H32" s="43"/>
      <c r="I32" s="74">
        <f>SUM(I24:I31)</f>
        <v>99165.89439999999</v>
      </c>
      <c r="J32" s="289"/>
      <c r="K32" s="272">
        <f>+(I32-G32)/G32</f>
        <v>6.3657950681640124E-2</v>
      </c>
    </row>
    <row r="33" spans="1:11" x14ac:dyDescent="0.2">
      <c r="G33" s="43"/>
      <c r="H33" s="43"/>
      <c r="I33" s="43"/>
      <c r="J33" s="100"/>
      <c r="K33" s="253"/>
    </row>
    <row r="34" spans="1:11" x14ac:dyDescent="0.2">
      <c r="B34" s="2" t="s">
        <v>33</v>
      </c>
      <c r="C34" s="75">
        <f>SUM(C17+C21+C32)</f>
        <v>167258</v>
      </c>
      <c r="E34" s="162">
        <f>SUM(E17+E21+E32)</f>
        <v>201865.46999999997</v>
      </c>
      <c r="G34" s="75">
        <f>SUM(G17+G21+G32)</f>
        <v>180781</v>
      </c>
      <c r="H34" s="43"/>
      <c r="I34" s="75">
        <f>SUM(I17+I20+I32)</f>
        <v>198235.31438699999</v>
      </c>
      <c r="J34" s="100"/>
      <c r="K34" s="274">
        <f t="shared" ref="K34" si="3">+(I34-G34)/G34</f>
        <v>9.6549495726873907E-2</v>
      </c>
    </row>
    <row r="35" spans="1:11" x14ac:dyDescent="0.2">
      <c r="G35" s="43"/>
      <c r="H35" s="43"/>
      <c r="I35" s="43"/>
      <c r="J35" s="100"/>
      <c r="K35" s="253"/>
    </row>
    <row r="36" spans="1:11" ht="13.5" thickBot="1" x14ac:dyDescent="0.25">
      <c r="B36" s="2" t="s">
        <v>52</v>
      </c>
      <c r="C36" s="224">
        <f>SUM(C11-C17-C20-C32)</f>
        <v>97767</v>
      </c>
      <c r="E36" s="225">
        <f>SUM(E11-E17-E20-E32)</f>
        <v>63097.139999999985</v>
      </c>
      <c r="G36" s="224">
        <f>SUM(G11-G17-G20-G32)</f>
        <v>84244</v>
      </c>
      <c r="H36" s="43"/>
      <c r="I36" s="224">
        <f>SUM(I11-I17-I20-I32)</f>
        <v>74789.685613000038</v>
      </c>
      <c r="J36" s="290"/>
      <c r="K36" s="277">
        <f t="shared" ref="K36" si="4">+(I36-G36)/G36</f>
        <v>-0.11222537375955513</v>
      </c>
    </row>
    <row r="37" spans="1:11" ht="13.5" thickTop="1" x14ac:dyDescent="0.2">
      <c r="G37" s="43"/>
      <c r="H37" s="43"/>
      <c r="I37" s="43"/>
    </row>
    <row r="38" spans="1:11" x14ac:dyDescent="0.2">
      <c r="B38" s="12"/>
    </row>
    <row r="39" spans="1:11" x14ac:dyDescent="0.2">
      <c r="A39" s="12"/>
      <c r="B39" s="13"/>
      <c r="C39" s="44"/>
      <c r="D39" s="44"/>
      <c r="E39" s="44"/>
      <c r="F39" s="44"/>
    </row>
    <row r="40" spans="1:11" x14ac:dyDescent="0.2">
      <c r="B40" s="13"/>
      <c r="C40" s="37"/>
      <c r="D40" s="37"/>
      <c r="E40" s="37"/>
      <c r="F40" s="37"/>
      <c r="G40" s="37"/>
      <c r="H40" s="37"/>
      <c r="I40" s="37"/>
    </row>
    <row r="41" spans="1:11" x14ac:dyDescent="0.2">
      <c r="B41" s="37"/>
      <c r="C41" s="37"/>
      <c r="D41" s="37"/>
      <c r="E41" s="37"/>
      <c r="F41" s="37"/>
      <c r="G41" s="37"/>
      <c r="H41" s="37"/>
      <c r="I41" s="37"/>
    </row>
    <row r="42" spans="1:11" x14ac:dyDescent="0.2">
      <c r="B42"/>
      <c r="C42"/>
      <c r="D42"/>
      <c r="E42"/>
      <c r="F42"/>
      <c r="G42"/>
      <c r="H42"/>
      <c r="I42"/>
    </row>
    <row r="43" spans="1:11" x14ac:dyDescent="0.2">
      <c r="B43"/>
      <c r="C43"/>
      <c r="D43"/>
      <c r="E43"/>
      <c r="F43"/>
      <c r="G43"/>
      <c r="H43"/>
      <c r="I43"/>
    </row>
    <row r="44" spans="1:11" x14ac:dyDescent="0.2">
      <c r="B44"/>
      <c r="C44"/>
      <c r="D44"/>
      <c r="E44"/>
      <c r="F44"/>
      <c r="G44"/>
      <c r="H44"/>
      <c r="I44"/>
    </row>
    <row r="45" spans="1:11" x14ac:dyDescent="0.2">
      <c r="B45"/>
      <c r="C45"/>
      <c r="D45"/>
      <c r="E45"/>
      <c r="F45"/>
      <c r="G45"/>
      <c r="H45"/>
      <c r="I45"/>
    </row>
    <row r="46" spans="1:11" x14ac:dyDescent="0.2">
      <c r="B46"/>
      <c r="C46"/>
      <c r="D46"/>
      <c r="E46"/>
      <c r="F46"/>
      <c r="G46"/>
      <c r="H46"/>
      <c r="I46"/>
    </row>
    <row r="47" spans="1:11" x14ac:dyDescent="0.2">
      <c r="B47"/>
      <c r="C47"/>
      <c r="D47"/>
      <c r="E47"/>
      <c r="F47"/>
      <c r="G47"/>
      <c r="H47"/>
      <c r="I47"/>
    </row>
    <row r="48" spans="1:11" x14ac:dyDescent="0.2">
      <c r="B48"/>
      <c r="C48"/>
      <c r="D48"/>
      <c r="E48"/>
      <c r="F48"/>
      <c r="G48"/>
      <c r="H48"/>
      <c r="I48"/>
    </row>
    <row r="49" spans="2:9" x14ac:dyDescent="0.2">
      <c r="B49"/>
      <c r="C49"/>
      <c r="D49"/>
      <c r="E49"/>
      <c r="F49"/>
      <c r="G49"/>
      <c r="H49"/>
      <c r="I49"/>
    </row>
    <row r="50" spans="2:9" x14ac:dyDescent="0.2">
      <c r="B50"/>
      <c r="C50"/>
      <c r="D50"/>
      <c r="E50"/>
      <c r="F50"/>
      <c r="G50"/>
      <c r="H50"/>
      <c r="I50"/>
    </row>
    <row r="51" spans="2:9" x14ac:dyDescent="0.2">
      <c r="B51"/>
      <c r="C51"/>
      <c r="D51"/>
      <c r="E51"/>
      <c r="F51"/>
      <c r="G51"/>
      <c r="H51"/>
      <c r="I51"/>
    </row>
  </sheetData>
  <mergeCells count="1">
    <mergeCell ref="A1:K1"/>
  </mergeCells>
  <phoneticPr fontId="0" type="noConversion"/>
  <pageMargins left="0" right="0" top="0" bottom="0" header="0" footer="0"/>
  <pageSetup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3"/>
  <sheetViews>
    <sheetView workbookViewId="0">
      <pane ySplit="5" topLeftCell="A6" activePane="bottomLeft" state="frozen"/>
      <selection activeCell="H37" sqref="H37"/>
      <selection pane="bottomLeft" activeCell="K34" sqref="K34"/>
    </sheetView>
  </sheetViews>
  <sheetFormatPr defaultColWidth="10" defaultRowHeight="12.75" x14ac:dyDescent="0.2"/>
  <cols>
    <col min="1" max="1" width="8.7109375" style="17" customWidth="1"/>
    <col min="2" max="2" width="12.42578125" style="17" customWidth="1"/>
    <col min="3" max="3" width="10.42578125" style="17" customWidth="1"/>
    <col min="4" max="4" width="16.140625" style="17" customWidth="1"/>
    <col min="5" max="5" width="17" style="18" customWidth="1"/>
    <col min="6" max="6" width="2.28515625" style="18" customWidth="1"/>
    <col min="7" max="7" width="17" style="18" customWidth="1"/>
    <col min="8" max="8" width="2.28515625" style="18" customWidth="1"/>
    <col min="9" max="9" width="15" style="21" customWidth="1"/>
    <col min="10" max="10" width="2.28515625" style="21" customWidth="1"/>
    <col min="11" max="11" width="15" style="21" customWidth="1"/>
    <col min="12" max="12" width="2.28515625" customWidth="1"/>
    <col min="13" max="13" width="15" style="233" customWidth="1"/>
    <col min="14" max="16384" width="10" style="17"/>
  </cols>
  <sheetData>
    <row r="1" spans="1:13" x14ac:dyDescent="0.2">
      <c r="A1" s="326" t="s">
        <v>223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</row>
    <row r="2" spans="1:13" x14ac:dyDescent="0.2">
      <c r="A2" s="254"/>
      <c r="B2" s="254"/>
      <c r="C2" s="307"/>
      <c r="D2" s="307"/>
      <c r="E2" s="254"/>
      <c r="F2" s="254"/>
      <c r="G2" s="254"/>
      <c r="H2" s="254"/>
      <c r="I2" s="254"/>
      <c r="J2" s="254"/>
      <c r="K2" s="254"/>
      <c r="L2" s="254"/>
      <c r="M2" s="254"/>
    </row>
    <row r="3" spans="1:13" x14ac:dyDescent="0.2">
      <c r="A3" s="30"/>
      <c r="E3" s="42" t="str">
        <f>cover!C6</f>
        <v>APPROVED</v>
      </c>
      <c r="F3" s="50"/>
      <c r="G3" s="42" t="str">
        <f>cover!E6</f>
        <v xml:space="preserve"> </v>
      </c>
      <c r="H3" s="50"/>
      <c r="I3" s="42" t="str">
        <f>cover!G6</f>
        <v>APPROVED</v>
      </c>
      <c r="J3" s="42"/>
      <c r="K3" s="42" t="str">
        <f>cover!I6</f>
        <v>REQUESTED</v>
      </c>
      <c r="M3" s="126" t="str">
        <f>cover!K6</f>
        <v>PERCENT</v>
      </c>
    </row>
    <row r="4" spans="1:13" x14ac:dyDescent="0.2">
      <c r="A4" s="30"/>
      <c r="B4" s="30"/>
      <c r="C4" s="30"/>
      <c r="D4" s="30"/>
      <c r="E4" s="42" t="str">
        <f>cover!C7</f>
        <v>BUDGET</v>
      </c>
      <c r="F4" s="42"/>
      <c r="G4" s="42" t="str">
        <f>cover!E7</f>
        <v>ACTUAL</v>
      </c>
      <c r="H4" s="42"/>
      <c r="I4" s="42" t="str">
        <f>cover!G7</f>
        <v>BUDGET</v>
      </c>
      <c r="J4" s="42"/>
      <c r="K4" s="42" t="str">
        <f>cover!I7</f>
        <v>BUDGET</v>
      </c>
      <c r="M4" s="126" t="str">
        <f>cover!K7</f>
        <v>CHANGE</v>
      </c>
    </row>
    <row r="5" spans="1:13" x14ac:dyDescent="0.2">
      <c r="A5" s="158"/>
      <c r="B5" s="158"/>
      <c r="C5" s="158"/>
      <c r="D5" s="158"/>
      <c r="E5" s="292" t="str">
        <f>cover!C8</f>
        <v>2010-11</v>
      </c>
      <c r="F5" s="292"/>
      <c r="G5" s="292" t="str">
        <f>cover!E8</f>
        <v>2010-11</v>
      </c>
      <c r="H5" s="292"/>
      <c r="I5" s="292" t="str">
        <f>cover!G8</f>
        <v>2011 -12</v>
      </c>
      <c r="J5" s="292"/>
      <c r="K5" s="292" t="str">
        <f>cover!I8</f>
        <v>2012 -13</v>
      </c>
      <c r="L5" s="293"/>
      <c r="M5" s="294" t="str">
        <f>cover!K8</f>
        <v>FY12/FY13</v>
      </c>
    </row>
    <row r="6" spans="1:13" x14ac:dyDescent="0.2">
      <c r="A6" s="30" t="s">
        <v>19</v>
      </c>
      <c r="B6" s="30"/>
      <c r="C6" s="30"/>
      <c r="D6" s="30"/>
      <c r="E6" s="33"/>
      <c r="F6" s="33"/>
      <c r="G6" s="33"/>
      <c r="H6" s="33"/>
      <c r="I6" s="33"/>
      <c r="J6" s="33"/>
      <c r="K6" s="33"/>
      <c r="M6" s="239"/>
    </row>
    <row r="7" spans="1:13" x14ac:dyDescent="0.2">
      <c r="A7" s="30"/>
      <c r="B7" s="30" t="s">
        <v>30</v>
      </c>
      <c r="C7" s="30"/>
      <c r="D7" s="30"/>
      <c r="E7" s="71"/>
      <c r="F7" s="71"/>
      <c r="G7" s="71"/>
      <c r="H7" s="71"/>
      <c r="I7" s="71"/>
      <c r="J7" s="71"/>
      <c r="K7" s="71"/>
      <c r="L7" s="100"/>
      <c r="M7" s="253"/>
    </row>
    <row r="8" spans="1:13" x14ac:dyDescent="0.2">
      <c r="A8" s="30"/>
      <c r="B8" s="2" t="s">
        <v>224</v>
      </c>
      <c r="C8" s="2"/>
      <c r="D8" s="2"/>
      <c r="E8" s="71">
        <v>710825</v>
      </c>
      <c r="F8" s="115"/>
      <c r="G8" s="115">
        <v>742103.24</v>
      </c>
      <c r="H8" s="115"/>
      <c r="I8" s="71">
        <v>710825</v>
      </c>
      <c r="J8" s="71"/>
      <c r="K8" s="71">
        <f>710825*1.03</f>
        <v>732149.75</v>
      </c>
      <c r="L8" s="100"/>
      <c r="M8" s="270">
        <f>+(K8-I8)/I8</f>
        <v>0.03</v>
      </c>
    </row>
    <row r="9" spans="1:13" x14ac:dyDescent="0.2">
      <c r="A9" s="30"/>
      <c r="B9" s="2" t="s">
        <v>227</v>
      </c>
      <c r="C9" s="2"/>
      <c r="D9" s="2"/>
      <c r="E9" s="71">
        <v>4560</v>
      </c>
      <c r="F9" s="115"/>
      <c r="G9" s="115">
        <v>3400</v>
      </c>
      <c r="H9" s="115"/>
      <c r="I9" s="71">
        <v>4560</v>
      </c>
      <c r="J9" s="71"/>
      <c r="K9" s="71">
        <v>4995</v>
      </c>
      <c r="L9" s="100"/>
      <c r="M9" s="270">
        <f>+(K9-I9)/I9</f>
        <v>9.5394736842105268E-2</v>
      </c>
    </row>
    <row r="10" spans="1:13" x14ac:dyDescent="0.2">
      <c r="A10" s="30"/>
      <c r="B10" s="2" t="s">
        <v>228</v>
      </c>
      <c r="C10" s="2"/>
      <c r="D10" s="2"/>
      <c r="E10" s="71">
        <v>0</v>
      </c>
      <c r="F10" s="115"/>
      <c r="G10" s="115">
        <v>233</v>
      </c>
      <c r="H10" s="115"/>
      <c r="I10" s="71">
        <v>0</v>
      </c>
      <c r="J10" s="71"/>
      <c r="K10" s="71">
        <v>0</v>
      </c>
      <c r="L10" s="100"/>
      <c r="M10" s="270">
        <v>0</v>
      </c>
    </row>
    <row r="11" spans="1:13" x14ac:dyDescent="0.2">
      <c r="A11" s="30"/>
      <c r="B11" s="2" t="s">
        <v>225</v>
      </c>
      <c r="C11" s="2"/>
      <c r="D11" s="2"/>
      <c r="E11" s="71">
        <v>8100</v>
      </c>
      <c r="F11" s="115"/>
      <c r="G11" s="115">
        <v>6120.05</v>
      </c>
      <c r="H11" s="115"/>
      <c r="I11" s="71">
        <v>8100</v>
      </c>
      <c r="J11" s="71"/>
      <c r="K11" s="255">
        <v>5000</v>
      </c>
      <c r="L11" s="100"/>
      <c r="M11" s="270">
        <f>+(K11-I11)/I11</f>
        <v>-0.38271604938271603</v>
      </c>
    </row>
    <row r="12" spans="1:13" x14ac:dyDescent="0.2">
      <c r="A12" s="30"/>
      <c r="B12" s="256" t="s">
        <v>226</v>
      </c>
      <c r="C12" s="256"/>
      <c r="D12" s="256"/>
      <c r="E12" s="71">
        <v>34000</v>
      </c>
      <c r="F12" s="115"/>
      <c r="G12" s="115">
        <v>33175</v>
      </c>
      <c r="H12" s="115"/>
      <c r="I12" s="71">
        <v>34000</v>
      </c>
      <c r="J12" s="71"/>
      <c r="K12" s="71">
        <v>34000</v>
      </c>
      <c r="L12" s="100"/>
      <c r="M12" s="270">
        <f>+(K12-I12)/I12</f>
        <v>0</v>
      </c>
    </row>
    <row r="13" spans="1:13" x14ac:dyDescent="0.2">
      <c r="A13" s="30"/>
      <c r="B13" s="257"/>
      <c r="C13" s="257"/>
      <c r="D13" s="257" t="s">
        <v>20</v>
      </c>
      <c r="E13" s="70">
        <f>SUM(E7:E12)</f>
        <v>757485</v>
      </c>
      <c r="F13" s="33"/>
      <c r="G13" s="83">
        <f>SUM(G7:G12)</f>
        <v>785031.29</v>
      </c>
      <c r="H13" s="33"/>
      <c r="I13" s="70">
        <f>SUM(I7:I12)</f>
        <v>757485</v>
      </c>
      <c r="J13" s="68"/>
      <c r="K13" s="70">
        <f>SUM(K7:K12)</f>
        <v>776144.75</v>
      </c>
      <c r="L13" s="100"/>
      <c r="M13" s="272">
        <f>+(K13-I13)/I13</f>
        <v>2.4633821131771587E-2</v>
      </c>
    </row>
    <row r="14" spans="1:13" x14ac:dyDescent="0.2">
      <c r="A14" s="30"/>
      <c r="B14" s="257"/>
      <c r="C14" s="257"/>
      <c r="D14" s="257"/>
      <c r="E14" s="33"/>
      <c r="F14" s="33"/>
      <c r="G14" s="33"/>
      <c r="H14" s="33"/>
      <c r="I14" s="68"/>
      <c r="J14" s="68"/>
      <c r="K14" s="68"/>
      <c r="L14" s="100"/>
      <c r="M14" s="253"/>
    </row>
    <row r="15" spans="1:13" x14ac:dyDescent="0.2">
      <c r="A15" s="30" t="s">
        <v>37</v>
      </c>
      <c r="B15" s="30"/>
      <c r="C15" s="30"/>
      <c r="D15" s="30"/>
      <c r="E15" s="33"/>
      <c r="F15" s="33"/>
      <c r="G15" s="33"/>
      <c r="H15" s="33"/>
      <c r="I15" s="68"/>
      <c r="J15" s="68"/>
      <c r="K15" s="68"/>
      <c r="L15" s="100"/>
      <c r="M15" s="253"/>
    </row>
    <row r="16" spans="1:13" x14ac:dyDescent="0.2">
      <c r="A16" s="30"/>
      <c r="B16" s="2" t="s">
        <v>174</v>
      </c>
      <c r="C16" s="2"/>
      <c r="D16" s="2"/>
      <c r="E16" s="71">
        <v>66336</v>
      </c>
      <c r="F16" s="115"/>
      <c r="G16" s="115">
        <v>66106.820000000007</v>
      </c>
      <c r="H16" s="115"/>
      <c r="I16" s="71">
        <v>67626</v>
      </c>
      <c r="J16" s="71"/>
      <c r="K16" s="71">
        <v>70015.39</v>
      </c>
      <c r="L16" s="100"/>
      <c r="M16" s="270">
        <f t="shared" ref="M16:M17" si="0">+(K16-I16)/I16</f>
        <v>3.5332416526188147E-2</v>
      </c>
    </row>
    <row r="17" spans="1:13" x14ac:dyDescent="0.2">
      <c r="A17" s="30"/>
      <c r="B17" s="2" t="s">
        <v>421</v>
      </c>
      <c r="C17" s="2"/>
      <c r="D17" s="2"/>
      <c r="E17" s="71">
        <v>198027</v>
      </c>
      <c r="F17" s="115"/>
      <c r="G17" s="115">
        <v>208374.95</v>
      </c>
      <c r="H17" s="115"/>
      <c r="I17" s="71">
        <v>207654</v>
      </c>
      <c r="J17" s="71"/>
      <c r="K17" s="71">
        <v>281525.45</v>
      </c>
      <c r="L17" s="100"/>
      <c r="M17" s="270">
        <f t="shared" si="0"/>
        <v>0.3557429666657036</v>
      </c>
    </row>
    <row r="18" spans="1:13" x14ac:dyDescent="0.2">
      <c r="A18" s="30"/>
      <c r="B18" s="2" t="s">
        <v>172</v>
      </c>
      <c r="C18" s="2"/>
      <c r="D18" s="2"/>
      <c r="E18" s="71">
        <v>0</v>
      </c>
      <c r="F18" s="33"/>
      <c r="G18" s="33">
        <v>1680.04</v>
      </c>
      <c r="H18" s="33"/>
      <c r="I18" s="71">
        <v>0</v>
      </c>
      <c r="J18" s="71"/>
      <c r="K18" s="71">
        <v>0</v>
      </c>
      <c r="L18" s="117"/>
      <c r="M18" s="270">
        <v>0</v>
      </c>
    </row>
    <row r="19" spans="1:13" x14ac:dyDescent="0.2">
      <c r="A19" s="30"/>
      <c r="B19" s="31"/>
      <c r="C19" s="31"/>
      <c r="D19" s="31" t="s">
        <v>23</v>
      </c>
      <c r="E19" s="70">
        <f>SUM(E16:E18)</f>
        <v>264363</v>
      </c>
      <c r="F19" s="33"/>
      <c r="G19" s="83">
        <f>SUM(G16:G18)</f>
        <v>276161.81</v>
      </c>
      <c r="H19" s="33"/>
      <c r="I19" s="70">
        <f>SUM(I16:I18)</f>
        <v>275280</v>
      </c>
      <c r="J19" s="68"/>
      <c r="K19" s="70">
        <f>SUM(K16:K18)</f>
        <v>351540.84</v>
      </c>
      <c r="L19" s="284"/>
      <c r="M19" s="272">
        <f>+(K19-I19)/I19</f>
        <v>0.27703007846556243</v>
      </c>
    </row>
    <row r="20" spans="1:13" x14ac:dyDescent="0.2">
      <c r="A20" s="30" t="s">
        <v>24</v>
      </c>
      <c r="B20" s="30"/>
      <c r="C20" s="30"/>
      <c r="D20" s="30"/>
      <c r="E20" s="33"/>
      <c r="F20" s="33"/>
      <c r="G20" s="33"/>
      <c r="H20" s="33"/>
      <c r="I20" s="68"/>
      <c r="J20" s="68"/>
      <c r="K20" s="68"/>
      <c r="L20" s="284"/>
      <c r="M20" s="253"/>
    </row>
    <row r="21" spans="1:13" x14ac:dyDescent="0.2">
      <c r="A21" s="30"/>
      <c r="B21" s="2" t="s">
        <v>175</v>
      </c>
      <c r="C21" s="2"/>
      <c r="D21" s="2"/>
      <c r="E21" s="71">
        <f>33266+129293</f>
        <v>162559</v>
      </c>
      <c r="F21" s="115"/>
      <c r="G21" s="115">
        <v>149146.43</v>
      </c>
      <c r="H21" s="115"/>
      <c r="I21" s="71">
        <v>172727</v>
      </c>
      <c r="J21" s="71"/>
      <c r="K21" s="122">
        <f>88704+80087.28+14766+19921.44</f>
        <v>203478.72</v>
      </c>
      <c r="L21" s="284"/>
      <c r="M21" s="270">
        <f t="shared" ref="M21" si="1">+(K21-I21)/I21</f>
        <v>0.17803655479456021</v>
      </c>
    </row>
    <row r="22" spans="1:13" x14ac:dyDescent="0.2">
      <c r="A22" s="30"/>
      <c r="B22" s="12"/>
      <c r="C22" s="12"/>
      <c r="D22" s="12" t="s">
        <v>38</v>
      </c>
      <c r="E22" s="166">
        <f>SUM(E21:E21)</f>
        <v>162559</v>
      </c>
      <c r="F22" s="115"/>
      <c r="G22" s="167">
        <f>SUM(G21:G21)</f>
        <v>149146.43</v>
      </c>
      <c r="H22" s="115"/>
      <c r="I22" s="166">
        <f>SUM(I21:I21)</f>
        <v>172727</v>
      </c>
      <c r="J22" s="71"/>
      <c r="K22" s="166">
        <f>SUM(K21:K21)</f>
        <v>203478.72</v>
      </c>
      <c r="L22" s="284"/>
      <c r="M22" s="272">
        <f>+(K22-I22)/I22</f>
        <v>0.17803655479456021</v>
      </c>
    </row>
    <row r="23" spans="1:13" x14ac:dyDescent="0.2">
      <c r="A23" s="30"/>
      <c r="B23" s="30"/>
      <c r="C23" s="30"/>
      <c r="D23" s="30"/>
      <c r="E23" s="33"/>
      <c r="F23" s="33"/>
      <c r="G23" s="33"/>
      <c r="H23" s="33"/>
      <c r="I23" s="68"/>
      <c r="J23" s="68"/>
      <c r="K23" s="68"/>
      <c r="L23" s="100"/>
      <c r="M23" s="253"/>
    </row>
    <row r="24" spans="1:13" x14ac:dyDescent="0.2">
      <c r="A24" s="30" t="s">
        <v>27</v>
      </c>
      <c r="B24" s="30"/>
      <c r="C24" s="30"/>
      <c r="D24" s="30"/>
      <c r="E24" s="33"/>
      <c r="F24" s="33"/>
      <c r="G24" s="33"/>
      <c r="H24" s="33"/>
      <c r="I24" s="68"/>
      <c r="J24" s="68"/>
      <c r="K24" s="68"/>
      <c r="L24" s="100"/>
      <c r="M24" s="253"/>
    </row>
    <row r="25" spans="1:13" x14ac:dyDescent="0.2">
      <c r="A25" s="30"/>
      <c r="B25" s="13" t="s">
        <v>229</v>
      </c>
      <c r="C25" s="13"/>
      <c r="D25" s="13"/>
      <c r="E25" s="71">
        <v>3315</v>
      </c>
      <c r="F25" s="115"/>
      <c r="G25" s="115">
        <v>13066.06</v>
      </c>
      <c r="H25" s="115"/>
      <c r="I25" s="71">
        <v>3382</v>
      </c>
      <c r="J25" s="71"/>
      <c r="K25" s="71">
        <v>5450</v>
      </c>
      <c r="L25" s="286"/>
      <c r="M25" s="270">
        <f t="shared" ref="M25:M34" si="2">+(K25-I25)/I25</f>
        <v>0.61147250147841514</v>
      </c>
    </row>
    <row r="26" spans="1:13" x14ac:dyDescent="0.2">
      <c r="B26" s="2" t="s">
        <v>230</v>
      </c>
      <c r="C26" s="2"/>
      <c r="D26" s="2"/>
      <c r="E26" s="71">
        <v>3315</v>
      </c>
      <c r="F26" s="115"/>
      <c r="G26" s="115">
        <v>4016.06</v>
      </c>
      <c r="H26" s="115"/>
      <c r="I26" s="71">
        <v>3341</v>
      </c>
      <c r="J26" s="71"/>
      <c r="K26" s="71">
        <v>4016</v>
      </c>
      <c r="L26" s="286"/>
      <c r="M26" s="270">
        <f t="shared" si="2"/>
        <v>0.20203531876683628</v>
      </c>
    </row>
    <row r="27" spans="1:13" x14ac:dyDescent="0.2">
      <c r="B27" s="2" t="s">
        <v>428</v>
      </c>
      <c r="C27" s="2"/>
      <c r="D27" s="2"/>
      <c r="E27" s="71">
        <v>122190</v>
      </c>
      <c r="F27" s="115"/>
      <c r="G27" s="115">
        <v>111026.01</v>
      </c>
      <c r="H27" s="115"/>
      <c r="I27" s="71">
        <v>131257</v>
      </c>
      <c r="J27" s="71"/>
      <c r="K27" s="71">
        <f>+((G27+(G27*0.17))*0.1)+((G27*0.17)+G27)</f>
        <v>142890.47486999998</v>
      </c>
      <c r="L27" s="286"/>
      <c r="M27" s="270">
        <f t="shared" si="2"/>
        <v>8.8631272008349846E-2</v>
      </c>
    </row>
    <row r="28" spans="1:13" x14ac:dyDescent="0.2">
      <c r="B28" s="31"/>
      <c r="C28" s="31" t="s">
        <v>39</v>
      </c>
      <c r="D28" s="31"/>
      <c r="E28" s="71">
        <v>12334</v>
      </c>
      <c r="F28" s="115"/>
      <c r="G28" s="115">
        <v>-1318.09</v>
      </c>
      <c r="H28" s="115"/>
      <c r="I28" s="71">
        <v>12334</v>
      </c>
      <c r="J28" s="71"/>
      <c r="K28" s="71">
        <v>12951</v>
      </c>
      <c r="L28" s="286"/>
      <c r="M28" s="270">
        <f t="shared" si="2"/>
        <v>5.0024323009567051E-2</v>
      </c>
    </row>
    <row r="29" spans="1:13" x14ac:dyDescent="0.2">
      <c r="B29" s="31"/>
      <c r="C29" s="31" t="s">
        <v>40</v>
      </c>
      <c r="D29" s="31"/>
      <c r="E29" s="71">
        <v>117339</v>
      </c>
      <c r="F29" s="115"/>
      <c r="G29" s="115">
        <v>95702.1</v>
      </c>
      <c r="H29" s="115"/>
      <c r="I29" s="71">
        <v>107339</v>
      </c>
      <c r="J29" s="71"/>
      <c r="K29" s="71">
        <f>+((G29+(G29*0.05))*0.05)+((G29*0.05)+G29)</f>
        <v>105511.56525</v>
      </c>
      <c r="L29" s="286"/>
      <c r="M29" s="270">
        <f t="shared" si="2"/>
        <v>-1.7024890766636547E-2</v>
      </c>
    </row>
    <row r="30" spans="1:13" x14ac:dyDescent="0.2">
      <c r="B30" s="31"/>
      <c r="C30" s="31" t="s">
        <v>41</v>
      </c>
      <c r="D30" s="31"/>
      <c r="E30" s="71">
        <v>12069</v>
      </c>
      <c r="F30" s="115"/>
      <c r="G30" s="115">
        <v>13127.94</v>
      </c>
      <c r="H30" s="115"/>
      <c r="I30" s="71">
        <v>16182</v>
      </c>
      <c r="J30" s="71"/>
      <c r="K30" s="71">
        <f>+((G30+(G30*0.045))*0.03)+((G30*0.045)+G30)</f>
        <v>14130.258218999999</v>
      </c>
      <c r="L30" s="286"/>
      <c r="M30" s="270">
        <f t="shared" si="2"/>
        <v>-0.12679160678531706</v>
      </c>
    </row>
    <row r="31" spans="1:13" x14ac:dyDescent="0.2">
      <c r="B31" s="31"/>
      <c r="C31" s="31" t="s">
        <v>42</v>
      </c>
      <c r="D31" s="31"/>
      <c r="E31" s="71">
        <v>24101</v>
      </c>
      <c r="F31" s="115"/>
      <c r="G31" s="115">
        <v>26079.23</v>
      </c>
      <c r="H31" s="115"/>
      <c r="I31" s="71">
        <v>32153</v>
      </c>
      <c r="J31" s="71"/>
      <c r="K31" s="71">
        <f>+((G31+(G31*0.1))*0.1)+((G31*0.1)+G31)</f>
        <v>31555.868299999998</v>
      </c>
      <c r="L31" s="286"/>
      <c r="M31" s="270">
        <f t="shared" si="2"/>
        <v>-1.8571570304481751E-2</v>
      </c>
    </row>
    <row r="32" spans="1:13" x14ac:dyDescent="0.2">
      <c r="B32" s="31"/>
      <c r="C32" s="31" t="s">
        <v>43</v>
      </c>
      <c r="D32" s="31"/>
      <c r="E32" s="71">
        <v>11477</v>
      </c>
      <c r="F32" s="115"/>
      <c r="G32" s="115">
        <v>7683.06</v>
      </c>
      <c r="H32" s="115"/>
      <c r="I32" s="71">
        <v>11477</v>
      </c>
      <c r="J32" s="71"/>
      <c r="K32" s="71">
        <v>11707</v>
      </c>
      <c r="L32" s="286"/>
      <c r="M32" s="270">
        <f t="shared" si="2"/>
        <v>2.004008016032064E-2</v>
      </c>
    </row>
    <row r="33" spans="1:14" x14ac:dyDescent="0.2">
      <c r="B33" s="13" t="s">
        <v>234</v>
      </c>
      <c r="C33" s="13"/>
      <c r="D33" s="13"/>
      <c r="E33" s="71"/>
      <c r="F33" s="115"/>
      <c r="G33" s="115"/>
      <c r="H33" s="115"/>
      <c r="I33" s="71"/>
      <c r="J33" s="71"/>
      <c r="K33" s="71"/>
      <c r="L33" s="286"/>
      <c r="M33" s="270"/>
    </row>
    <row r="34" spans="1:14" x14ac:dyDescent="0.2">
      <c r="A34" s="30"/>
      <c r="B34" s="13" t="s">
        <v>233</v>
      </c>
      <c r="C34" s="13"/>
      <c r="D34" s="13"/>
      <c r="E34" s="71">
        <v>85000</v>
      </c>
      <c r="F34" s="115"/>
      <c r="G34" s="115">
        <v>0</v>
      </c>
      <c r="H34" s="115"/>
      <c r="I34" s="71">
        <v>85000</v>
      </c>
      <c r="J34" s="71"/>
      <c r="K34" s="71">
        <v>85000</v>
      </c>
      <c r="L34" s="286"/>
      <c r="M34" s="270">
        <f t="shared" si="2"/>
        <v>0</v>
      </c>
      <c r="N34" s="105"/>
    </row>
    <row r="35" spans="1:14" x14ac:dyDescent="0.2">
      <c r="A35" s="30"/>
      <c r="B35" s="2" t="s">
        <v>231</v>
      </c>
      <c r="C35" s="2"/>
      <c r="D35" s="2"/>
      <c r="E35" s="71">
        <v>35020</v>
      </c>
      <c r="F35" s="115"/>
      <c r="G35" s="115">
        <v>34000</v>
      </c>
      <c r="H35" s="115"/>
      <c r="I35" s="71">
        <v>35020</v>
      </c>
      <c r="J35" s="71"/>
      <c r="K35" s="71">
        <v>35020</v>
      </c>
      <c r="L35" s="286"/>
      <c r="M35" s="270">
        <f t="shared" ref="M35:M38" si="3">+(K35-I35)/I35</f>
        <v>0</v>
      </c>
    </row>
    <row r="36" spans="1:14" x14ac:dyDescent="0.2">
      <c r="A36" s="30"/>
      <c r="B36" s="2" t="s">
        <v>232</v>
      </c>
      <c r="C36" s="2"/>
      <c r="D36" s="2"/>
      <c r="E36" s="71">
        <v>2000</v>
      </c>
      <c r="F36" s="115"/>
      <c r="G36" s="115">
        <v>3659.14</v>
      </c>
      <c r="H36" s="115"/>
      <c r="I36" s="71">
        <v>2040</v>
      </c>
      <c r="J36" s="71"/>
      <c r="K36" s="71">
        <v>3659</v>
      </c>
      <c r="L36" s="286"/>
      <c r="M36" s="270">
        <f t="shared" si="3"/>
        <v>0.79362745098039211</v>
      </c>
    </row>
    <row r="37" spans="1:14" x14ac:dyDescent="0.2">
      <c r="A37" s="30"/>
      <c r="B37" s="2" t="s">
        <v>235</v>
      </c>
      <c r="C37" s="2"/>
      <c r="D37" s="2"/>
      <c r="E37" s="71">
        <v>53212</v>
      </c>
      <c r="F37" s="115"/>
      <c r="G37" s="115">
        <v>8232</v>
      </c>
      <c r="H37" s="115"/>
      <c r="I37" s="71">
        <v>53212</v>
      </c>
      <c r="J37" s="71"/>
      <c r="K37" s="71">
        <v>8232</v>
      </c>
      <c r="L37" s="286"/>
      <c r="M37" s="270">
        <f t="shared" si="3"/>
        <v>-0.84529805307073591</v>
      </c>
    </row>
    <row r="38" spans="1:14" x14ac:dyDescent="0.2">
      <c r="A38" s="30"/>
      <c r="B38" s="2" t="s">
        <v>157</v>
      </c>
      <c r="C38" s="2"/>
      <c r="D38" s="2"/>
      <c r="E38" s="71">
        <v>2880</v>
      </c>
      <c r="F38" s="115"/>
      <c r="G38" s="115">
        <v>0</v>
      </c>
      <c r="H38" s="115"/>
      <c r="I38" s="71">
        <v>2880</v>
      </c>
      <c r="J38" s="71"/>
      <c r="K38" s="71">
        <v>2880</v>
      </c>
      <c r="L38" s="271"/>
      <c r="M38" s="270">
        <f t="shared" si="3"/>
        <v>0</v>
      </c>
    </row>
    <row r="39" spans="1:14" ht="15" hidden="1" customHeight="1" x14ac:dyDescent="0.2">
      <c r="A39" s="265"/>
      <c r="B39" s="265" t="s">
        <v>84</v>
      </c>
      <c r="C39" s="265"/>
      <c r="D39" s="265"/>
      <c r="E39" s="259"/>
      <c r="F39" s="266"/>
      <c r="G39" s="266"/>
      <c r="H39" s="266"/>
      <c r="I39" s="259"/>
      <c r="J39" s="259"/>
      <c r="K39" s="259"/>
      <c r="L39" s="260"/>
      <c r="M39" s="261"/>
    </row>
    <row r="40" spans="1:14" x14ac:dyDescent="0.2">
      <c r="A40" s="30"/>
      <c r="B40" s="12"/>
      <c r="C40" s="12"/>
      <c r="D40" s="12" t="s">
        <v>76</v>
      </c>
      <c r="E40" s="70">
        <f>SUM(E25:E39)</f>
        <v>484252</v>
      </c>
      <c r="F40" s="33"/>
      <c r="G40" s="65">
        <f>SUM(G25:G39)</f>
        <v>315273.51000000007</v>
      </c>
      <c r="H40" s="33"/>
      <c r="I40" s="70">
        <f>SUM(I25:I39)</f>
        <v>495617</v>
      </c>
      <c r="J40" s="68"/>
      <c r="K40" s="70">
        <f>SUM(K25:K39)</f>
        <v>463003.16663899994</v>
      </c>
      <c r="L40" s="287"/>
      <c r="M40" s="272">
        <f>+(K40-I40)/I40</f>
        <v>-6.5804509048317666E-2</v>
      </c>
    </row>
    <row r="41" spans="1:14" x14ac:dyDescent="0.2">
      <c r="A41" s="30"/>
      <c r="B41" s="31"/>
      <c r="C41" s="31"/>
      <c r="D41" s="31"/>
      <c r="E41" s="33"/>
      <c r="F41" s="33"/>
      <c r="G41" s="33"/>
      <c r="H41" s="33"/>
      <c r="I41" s="68"/>
      <c r="J41" s="68"/>
      <c r="K41" s="68"/>
      <c r="L41" s="100"/>
      <c r="M41" s="253"/>
    </row>
    <row r="42" spans="1:14" x14ac:dyDescent="0.2">
      <c r="A42" s="30"/>
      <c r="B42" s="63" t="s">
        <v>33</v>
      </c>
      <c r="C42" s="63"/>
      <c r="D42" s="63"/>
      <c r="E42" s="67">
        <f>SUM(E40+E22+E19)</f>
        <v>911174</v>
      </c>
      <c r="F42" s="33"/>
      <c r="G42" s="34">
        <f>SUM(G40+G22+G19)</f>
        <v>740581.75</v>
      </c>
      <c r="H42" s="33"/>
      <c r="I42" s="67">
        <f>SUM(I40+I22+I19)</f>
        <v>943624</v>
      </c>
      <c r="J42" s="68"/>
      <c r="K42" s="67">
        <f>SUM(K40+K21+K19)</f>
        <v>1018022.726639</v>
      </c>
      <c r="L42" s="100"/>
      <c r="M42" s="274">
        <f t="shared" ref="M42" si="4">+(K42-I42)/I42</f>
        <v>7.8843614235119069E-2</v>
      </c>
    </row>
    <row r="43" spans="1:14" x14ac:dyDescent="0.2">
      <c r="A43" s="30"/>
      <c r="B43" s="30"/>
      <c r="C43" s="30"/>
      <c r="D43" s="30"/>
      <c r="E43" s="33"/>
      <c r="F43" s="33"/>
      <c r="G43" s="33"/>
      <c r="H43" s="33"/>
      <c r="I43" s="68"/>
      <c r="J43" s="68"/>
      <c r="K43" s="68"/>
      <c r="L43" s="100"/>
      <c r="M43" s="253"/>
    </row>
    <row r="44" spans="1:14" ht="13.5" thickBot="1" x14ac:dyDescent="0.25">
      <c r="A44" s="30"/>
      <c r="B44" s="30" t="s">
        <v>46</v>
      </c>
      <c r="C44" s="30"/>
      <c r="D44" s="30"/>
      <c r="E44" s="226">
        <f>SUM(E13-E19-E21-E40)</f>
        <v>-153689</v>
      </c>
      <c r="F44" s="33"/>
      <c r="G44" s="228">
        <f>SUM(G13-G19-G21-G40)</f>
        <v>44449.539999999979</v>
      </c>
      <c r="H44" s="33"/>
      <c r="I44" s="226">
        <f>SUM(I13-I19-I21-I40)</f>
        <v>-186139</v>
      </c>
      <c r="J44" s="68"/>
      <c r="K44" s="226">
        <f>SUM(K13-K19-K21-K40)</f>
        <v>-241877.97663899997</v>
      </c>
      <c r="L44" s="100"/>
      <c r="M44" s="277">
        <f t="shared" ref="M44" si="5">+(K44-I44)/I44</f>
        <v>0.29944813627987671</v>
      </c>
    </row>
    <row r="45" spans="1:14" ht="13.5" thickTop="1" x14ac:dyDescent="0.2">
      <c r="B45" s="2"/>
      <c r="C45" s="2"/>
      <c r="D45" s="2"/>
      <c r="E45" s="26"/>
      <c r="F45" s="26"/>
      <c r="G45" s="26"/>
      <c r="H45" s="26"/>
      <c r="I45" s="73"/>
      <c r="J45" s="73"/>
      <c r="K45" s="73"/>
      <c r="L45" s="95"/>
    </row>
    <row r="46" spans="1:14" x14ac:dyDescent="0.2">
      <c r="B46" s="12"/>
      <c r="C46" s="12"/>
      <c r="D46" s="12"/>
      <c r="E46" s="26"/>
      <c r="F46" s="26"/>
      <c r="G46" s="26"/>
      <c r="H46" s="26"/>
      <c r="I46" s="73"/>
      <c r="J46" s="73"/>
      <c r="K46" s="73"/>
    </row>
    <row r="47" spans="1:14" x14ac:dyDescent="0.2">
      <c r="I47" s="18"/>
      <c r="J47" s="18"/>
      <c r="K47" s="18"/>
    </row>
    <row r="48" spans="1:14" x14ac:dyDescent="0.2">
      <c r="I48" s="18"/>
      <c r="J48" s="18"/>
      <c r="K48" s="79"/>
    </row>
    <row r="49" spans="9:11" x14ac:dyDescent="0.2">
      <c r="I49" s="18"/>
      <c r="J49" s="18"/>
      <c r="K49" s="18"/>
    </row>
    <row r="50" spans="9:11" x14ac:dyDescent="0.2">
      <c r="I50" s="18"/>
      <c r="J50" s="18"/>
      <c r="K50" s="18"/>
    </row>
    <row r="51" spans="9:11" x14ac:dyDescent="0.2">
      <c r="I51" s="18"/>
      <c r="J51" s="18"/>
      <c r="K51" s="18"/>
    </row>
    <row r="52" spans="9:11" x14ac:dyDescent="0.2">
      <c r="I52" s="18"/>
      <c r="J52" s="18"/>
      <c r="K52" s="18"/>
    </row>
    <row r="53" spans="9:11" x14ac:dyDescent="0.2">
      <c r="I53" s="18"/>
      <c r="J53" s="18"/>
      <c r="K53" s="18"/>
    </row>
    <row r="54" spans="9:11" x14ac:dyDescent="0.2">
      <c r="I54" s="18"/>
      <c r="J54" s="18"/>
      <c r="K54" s="18"/>
    </row>
    <row r="55" spans="9:11" x14ac:dyDescent="0.2">
      <c r="I55" s="18"/>
      <c r="J55" s="18"/>
      <c r="K55" s="18"/>
    </row>
    <row r="56" spans="9:11" x14ac:dyDescent="0.2">
      <c r="I56" s="18"/>
      <c r="J56" s="18"/>
      <c r="K56" s="18"/>
    </row>
    <row r="57" spans="9:11" x14ac:dyDescent="0.2">
      <c r="I57" s="18"/>
      <c r="J57" s="18"/>
      <c r="K57" s="18"/>
    </row>
    <row r="58" spans="9:11" x14ac:dyDescent="0.2">
      <c r="I58" s="18"/>
      <c r="J58" s="18"/>
      <c r="K58" s="18"/>
    </row>
    <row r="59" spans="9:11" x14ac:dyDescent="0.2">
      <c r="I59" s="18"/>
      <c r="J59" s="18"/>
      <c r="K59" s="18"/>
    </row>
    <row r="60" spans="9:11" x14ac:dyDescent="0.2">
      <c r="I60" s="18"/>
      <c r="J60" s="18"/>
      <c r="K60" s="18"/>
    </row>
    <row r="61" spans="9:11" x14ac:dyDescent="0.2">
      <c r="I61" s="18"/>
      <c r="J61" s="18"/>
      <c r="K61" s="18"/>
    </row>
    <row r="62" spans="9:11" x14ac:dyDescent="0.2">
      <c r="I62" s="18"/>
      <c r="J62" s="18"/>
      <c r="K62" s="18"/>
    </row>
    <row r="63" spans="9:11" x14ac:dyDescent="0.2">
      <c r="I63" s="18"/>
      <c r="J63" s="18"/>
      <c r="K63" s="18"/>
    </row>
    <row r="64" spans="9:11" x14ac:dyDescent="0.2">
      <c r="I64" s="18"/>
      <c r="J64" s="18"/>
      <c r="K64" s="18"/>
    </row>
    <row r="65" spans="9:11" x14ac:dyDescent="0.2">
      <c r="I65" s="18"/>
      <c r="J65" s="18"/>
      <c r="K65" s="18"/>
    </row>
    <row r="66" spans="9:11" x14ac:dyDescent="0.2">
      <c r="I66" s="18"/>
      <c r="J66" s="18"/>
      <c r="K66" s="18"/>
    </row>
    <row r="67" spans="9:11" x14ac:dyDescent="0.2">
      <c r="I67" s="18"/>
      <c r="J67" s="18"/>
      <c r="K67" s="18"/>
    </row>
    <row r="68" spans="9:11" x14ac:dyDescent="0.2">
      <c r="I68" s="18"/>
      <c r="J68" s="18"/>
      <c r="K68" s="18"/>
    </row>
    <row r="69" spans="9:11" x14ac:dyDescent="0.2">
      <c r="I69" s="18"/>
      <c r="J69" s="18"/>
      <c r="K69" s="18"/>
    </row>
    <row r="70" spans="9:11" x14ac:dyDescent="0.2">
      <c r="I70" s="18"/>
      <c r="J70" s="18"/>
      <c r="K70" s="18"/>
    </row>
    <row r="71" spans="9:11" x14ac:dyDescent="0.2">
      <c r="I71" s="18"/>
      <c r="J71" s="18"/>
      <c r="K71" s="18"/>
    </row>
    <row r="72" spans="9:11" x14ac:dyDescent="0.2">
      <c r="I72" s="18"/>
      <c r="J72" s="18"/>
      <c r="K72" s="18"/>
    </row>
    <row r="73" spans="9:11" x14ac:dyDescent="0.2">
      <c r="I73" s="18"/>
      <c r="J73" s="18"/>
      <c r="K73" s="18"/>
    </row>
    <row r="74" spans="9:11" x14ac:dyDescent="0.2">
      <c r="I74" s="18"/>
      <c r="J74" s="18"/>
      <c r="K74" s="18"/>
    </row>
    <row r="75" spans="9:11" x14ac:dyDescent="0.2">
      <c r="I75" s="18"/>
      <c r="J75" s="18"/>
      <c r="K75" s="18"/>
    </row>
    <row r="76" spans="9:11" x14ac:dyDescent="0.2">
      <c r="I76" s="18"/>
      <c r="J76" s="18"/>
      <c r="K76" s="18"/>
    </row>
    <row r="77" spans="9:11" x14ac:dyDescent="0.2">
      <c r="I77" s="18"/>
      <c r="J77" s="18"/>
      <c r="K77" s="18"/>
    </row>
    <row r="78" spans="9:11" x14ac:dyDescent="0.2">
      <c r="I78" s="18"/>
      <c r="J78" s="18"/>
      <c r="K78" s="18"/>
    </row>
    <row r="79" spans="9:11" x14ac:dyDescent="0.2">
      <c r="I79" s="18"/>
      <c r="J79" s="18"/>
      <c r="K79" s="18"/>
    </row>
    <row r="80" spans="9:11" x14ac:dyDescent="0.2">
      <c r="I80" s="18"/>
      <c r="J80" s="18"/>
      <c r="K80" s="18"/>
    </row>
    <row r="81" spans="9:11" x14ac:dyDescent="0.2">
      <c r="I81" s="18"/>
      <c r="J81" s="18"/>
      <c r="K81" s="18"/>
    </row>
    <row r="82" spans="9:11" x14ac:dyDescent="0.2">
      <c r="I82" s="18"/>
      <c r="J82" s="18"/>
      <c r="K82" s="18"/>
    </row>
    <row r="83" spans="9:11" x14ac:dyDescent="0.2">
      <c r="I83" s="18"/>
      <c r="J83" s="18"/>
      <c r="K83" s="18"/>
    </row>
    <row r="84" spans="9:11" x14ac:dyDescent="0.2">
      <c r="I84" s="18"/>
      <c r="J84" s="18"/>
      <c r="K84" s="18"/>
    </row>
    <row r="85" spans="9:11" x14ac:dyDescent="0.2">
      <c r="I85" s="18"/>
      <c r="J85" s="18"/>
      <c r="K85" s="18"/>
    </row>
    <row r="86" spans="9:11" x14ac:dyDescent="0.2">
      <c r="I86" s="18"/>
      <c r="J86" s="18"/>
      <c r="K86" s="18"/>
    </row>
    <row r="87" spans="9:11" x14ac:dyDescent="0.2">
      <c r="I87" s="18"/>
      <c r="J87" s="18"/>
      <c r="K87" s="18"/>
    </row>
    <row r="88" spans="9:11" x14ac:dyDescent="0.2">
      <c r="I88" s="18"/>
      <c r="J88" s="18"/>
      <c r="K88" s="18"/>
    </row>
    <row r="89" spans="9:11" x14ac:dyDescent="0.2">
      <c r="I89" s="18"/>
      <c r="J89" s="18"/>
      <c r="K89" s="18"/>
    </row>
    <row r="90" spans="9:11" x14ac:dyDescent="0.2">
      <c r="I90" s="18"/>
      <c r="J90" s="18"/>
      <c r="K90" s="18"/>
    </row>
    <row r="91" spans="9:11" x14ac:dyDescent="0.2">
      <c r="I91" s="18"/>
      <c r="J91" s="18"/>
      <c r="K91" s="18"/>
    </row>
    <row r="92" spans="9:11" x14ac:dyDescent="0.2">
      <c r="I92" s="18"/>
      <c r="J92" s="18"/>
      <c r="K92" s="18"/>
    </row>
    <row r="93" spans="9:11" x14ac:dyDescent="0.2">
      <c r="I93" s="18"/>
      <c r="J93" s="18"/>
      <c r="K93" s="18"/>
    </row>
    <row r="94" spans="9:11" x14ac:dyDescent="0.2">
      <c r="I94" s="18"/>
      <c r="J94" s="18"/>
      <c r="K94" s="18"/>
    </row>
    <row r="95" spans="9:11" x14ac:dyDescent="0.2">
      <c r="I95" s="18"/>
      <c r="J95" s="18"/>
      <c r="K95" s="18"/>
    </row>
    <row r="96" spans="9:11" x14ac:dyDescent="0.2">
      <c r="I96" s="18"/>
      <c r="J96" s="18"/>
      <c r="K96" s="18"/>
    </row>
    <row r="97" spans="9:11" x14ac:dyDescent="0.2">
      <c r="I97" s="18"/>
      <c r="J97" s="18"/>
      <c r="K97" s="18"/>
    </row>
    <row r="98" spans="9:11" x14ac:dyDescent="0.2">
      <c r="I98" s="18"/>
      <c r="J98" s="18"/>
      <c r="K98" s="18"/>
    </row>
    <row r="99" spans="9:11" x14ac:dyDescent="0.2">
      <c r="I99" s="18"/>
      <c r="J99" s="18"/>
      <c r="K99" s="18"/>
    </row>
    <row r="100" spans="9:11" x14ac:dyDescent="0.2">
      <c r="I100" s="18"/>
      <c r="J100" s="18"/>
      <c r="K100" s="18"/>
    </row>
    <row r="101" spans="9:11" x14ac:dyDescent="0.2">
      <c r="I101" s="18"/>
      <c r="J101" s="18"/>
      <c r="K101" s="18"/>
    </row>
    <row r="102" spans="9:11" x14ac:dyDescent="0.2">
      <c r="I102" s="18"/>
      <c r="J102" s="18"/>
      <c r="K102" s="18"/>
    </row>
    <row r="103" spans="9:11" x14ac:dyDescent="0.2">
      <c r="I103" s="18"/>
      <c r="J103" s="18"/>
      <c r="K103" s="18"/>
    </row>
    <row r="104" spans="9:11" x14ac:dyDescent="0.2">
      <c r="I104" s="18"/>
      <c r="J104" s="18"/>
      <c r="K104" s="18"/>
    </row>
    <row r="105" spans="9:11" x14ac:dyDescent="0.2">
      <c r="I105" s="18"/>
      <c r="J105" s="18"/>
      <c r="K105" s="18"/>
    </row>
    <row r="106" spans="9:11" x14ac:dyDescent="0.2">
      <c r="I106" s="18"/>
      <c r="J106" s="18"/>
      <c r="K106" s="18"/>
    </row>
    <row r="107" spans="9:11" x14ac:dyDescent="0.2">
      <c r="I107" s="18"/>
      <c r="J107" s="18"/>
      <c r="K107" s="18"/>
    </row>
    <row r="108" spans="9:11" x14ac:dyDescent="0.2">
      <c r="I108" s="18"/>
      <c r="J108" s="18"/>
      <c r="K108" s="18"/>
    </row>
    <row r="109" spans="9:11" x14ac:dyDescent="0.2">
      <c r="I109" s="18"/>
      <c r="J109" s="18"/>
      <c r="K109" s="18"/>
    </row>
    <row r="110" spans="9:11" x14ac:dyDescent="0.2">
      <c r="I110" s="18"/>
      <c r="J110" s="18"/>
      <c r="K110" s="18"/>
    </row>
    <row r="111" spans="9:11" x14ac:dyDescent="0.2">
      <c r="I111" s="18"/>
      <c r="J111" s="18"/>
      <c r="K111" s="18"/>
    </row>
    <row r="112" spans="9:11" x14ac:dyDescent="0.2">
      <c r="I112" s="18"/>
      <c r="J112" s="18"/>
      <c r="K112" s="18"/>
    </row>
    <row r="113" spans="2:11" x14ac:dyDescent="0.2">
      <c r="I113" s="18"/>
      <c r="J113" s="18"/>
      <c r="K113" s="18"/>
    </row>
    <row r="114" spans="2:11" x14ac:dyDescent="0.2">
      <c r="I114" s="18"/>
      <c r="J114" s="18"/>
      <c r="K114" s="18"/>
    </row>
    <row r="115" spans="2:11" x14ac:dyDescent="0.2">
      <c r="I115" s="18"/>
      <c r="J115" s="18"/>
      <c r="K115" s="18"/>
    </row>
    <row r="116" spans="2:11" x14ac:dyDescent="0.2">
      <c r="B116"/>
      <c r="C116"/>
      <c r="D116"/>
      <c r="E116" s="27"/>
      <c r="F116" s="27"/>
      <c r="G116" s="27"/>
      <c r="H116" s="27"/>
      <c r="I116" s="27"/>
      <c r="J116" s="27"/>
      <c r="K116" s="27"/>
    </row>
    <row r="117" spans="2:11" x14ac:dyDescent="0.2">
      <c r="B117"/>
      <c r="C117"/>
      <c r="D117"/>
      <c r="E117" s="27"/>
      <c r="F117" s="27"/>
      <c r="G117" s="27"/>
      <c r="H117" s="27"/>
      <c r="I117" s="27"/>
      <c r="J117" s="27"/>
      <c r="K117" s="27"/>
    </row>
    <row r="118" spans="2:11" x14ac:dyDescent="0.2">
      <c r="B118"/>
      <c r="C118"/>
      <c r="D118"/>
      <c r="E118" s="27"/>
      <c r="F118" s="27"/>
      <c r="G118" s="27"/>
      <c r="H118" s="27"/>
      <c r="I118" s="27"/>
      <c r="J118" s="27"/>
      <c r="K118" s="27"/>
    </row>
    <row r="119" spans="2:11" x14ac:dyDescent="0.2">
      <c r="B119"/>
      <c r="C119"/>
      <c r="D119"/>
      <c r="E119" s="27"/>
      <c r="F119" s="27"/>
      <c r="G119" s="27"/>
      <c r="H119" s="27"/>
      <c r="I119" s="27"/>
      <c r="J119" s="27"/>
      <c r="K119" s="27"/>
    </row>
    <row r="120" spans="2:11" x14ac:dyDescent="0.2">
      <c r="B120"/>
      <c r="C120"/>
      <c r="D120"/>
      <c r="E120" s="27"/>
      <c r="F120" s="27"/>
      <c r="G120" s="27"/>
      <c r="H120" s="27"/>
      <c r="I120" s="27"/>
      <c r="J120" s="27"/>
      <c r="K120" s="27"/>
    </row>
    <row r="121" spans="2:11" x14ac:dyDescent="0.2">
      <c r="B121"/>
      <c r="C121"/>
      <c r="D121"/>
      <c r="E121" s="27"/>
      <c r="F121" s="27"/>
      <c r="G121" s="27"/>
      <c r="H121" s="27"/>
      <c r="I121" s="27"/>
      <c r="J121" s="27"/>
      <c r="K121" s="27"/>
    </row>
    <row r="122" spans="2:11" x14ac:dyDescent="0.2">
      <c r="B122"/>
      <c r="C122"/>
      <c r="D122"/>
      <c r="E122" s="27"/>
      <c r="F122" s="27"/>
      <c r="G122" s="27"/>
      <c r="H122" s="27"/>
      <c r="I122" s="27"/>
      <c r="J122" s="27"/>
      <c r="K122" s="27"/>
    </row>
    <row r="123" spans="2:11" x14ac:dyDescent="0.2">
      <c r="B123"/>
      <c r="C123"/>
      <c r="D123"/>
      <c r="E123" s="27"/>
      <c r="F123" s="27"/>
      <c r="G123" s="27"/>
      <c r="H123" s="27"/>
      <c r="I123" s="27"/>
      <c r="J123" s="27"/>
      <c r="K123" s="27"/>
    </row>
    <row r="124" spans="2:11" x14ac:dyDescent="0.2">
      <c r="B124"/>
      <c r="C124"/>
      <c r="D124"/>
      <c r="E124" s="27"/>
      <c r="F124" s="27"/>
      <c r="G124" s="27"/>
      <c r="H124" s="27"/>
      <c r="I124" s="27"/>
      <c r="J124" s="27"/>
      <c r="K124" s="27"/>
    </row>
    <row r="125" spans="2:11" x14ac:dyDescent="0.2">
      <c r="B125"/>
      <c r="C125"/>
      <c r="D125"/>
      <c r="E125" s="27"/>
      <c r="F125" s="27"/>
      <c r="G125" s="27"/>
      <c r="H125" s="27"/>
      <c r="I125" s="27"/>
      <c r="J125" s="27"/>
      <c r="K125" s="27"/>
    </row>
    <row r="126" spans="2:11" x14ac:dyDescent="0.2">
      <c r="B126"/>
      <c r="C126"/>
      <c r="D126"/>
      <c r="E126" s="27"/>
      <c r="F126" s="27"/>
      <c r="G126" s="27"/>
      <c r="H126" s="27"/>
      <c r="I126" s="27"/>
      <c r="J126" s="27"/>
      <c r="K126" s="27"/>
    </row>
    <row r="127" spans="2:11" x14ac:dyDescent="0.2">
      <c r="B127"/>
      <c r="C127"/>
      <c r="D127"/>
      <c r="E127" s="27"/>
      <c r="F127" s="27"/>
      <c r="G127" s="27"/>
      <c r="H127" s="27"/>
      <c r="I127" s="27"/>
      <c r="J127" s="27"/>
      <c r="K127" s="27"/>
    </row>
    <row r="128" spans="2:11" x14ac:dyDescent="0.2">
      <c r="B128"/>
      <c r="C128"/>
      <c r="D128"/>
      <c r="E128" s="27"/>
      <c r="F128" s="27"/>
      <c r="G128" s="27"/>
      <c r="H128" s="27"/>
      <c r="I128" s="27"/>
      <c r="J128" s="27"/>
      <c r="K128" s="27"/>
    </row>
    <row r="129" spans="2:11" x14ac:dyDescent="0.2">
      <c r="B129"/>
      <c r="C129"/>
      <c r="D129"/>
      <c r="E129" s="27"/>
      <c r="F129" s="27"/>
      <c r="G129" s="27"/>
      <c r="H129" s="27"/>
      <c r="I129" s="27"/>
      <c r="J129" s="27"/>
      <c r="K129" s="27"/>
    </row>
    <row r="130" spans="2:11" x14ac:dyDescent="0.2">
      <c r="B130"/>
      <c r="C130"/>
      <c r="D130"/>
      <c r="E130" s="27"/>
      <c r="F130" s="27"/>
      <c r="G130" s="27"/>
      <c r="H130" s="27"/>
      <c r="I130" s="27"/>
      <c r="J130" s="27"/>
      <c r="K130" s="27"/>
    </row>
    <row r="131" spans="2:11" x14ac:dyDescent="0.2">
      <c r="B131"/>
      <c r="C131"/>
      <c r="D131"/>
      <c r="E131" s="27"/>
      <c r="F131" s="27"/>
      <c r="G131" s="27"/>
      <c r="H131" s="27"/>
      <c r="I131" s="27"/>
      <c r="J131" s="27"/>
      <c r="K131" s="27"/>
    </row>
    <row r="132" spans="2:11" x14ac:dyDescent="0.2">
      <c r="B132"/>
      <c r="C132"/>
      <c r="D132"/>
      <c r="E132" s="27"/>
      <c r="F132" s="27"/>
      <c r="G132" s="27"/>
      <c r="H132" s="27"/>
      <c r="I132" s="27"/>
      <c r="J132" s="27"/>
      <c r="K132" s="27"/>
    </row>
    <row r="133" spans="2:11" x14ac:dyDescent="0.2">
      <c r="B133"/>
      <c r="C133"/>
      <c r="D133"/>
      <c r="E133" s="27"/>
      <c r="F133" s="27"/>
      <c r="G133" s="27"/>
      <c r="H133" s="27"/>
      <c r="I133" s="27"/>
      <c r="J133" s="27"/>
      <c r="K133" s="27"/>
    </row>
    <row r="134" spans="2:11" x14ac:dyDescent="0.2">
      <c r="B134"/>
      <c r="C134"/>
      <c r="D134"/>
      <c r="E134" s="27"/>
      <c r="F134" s="27"/>
      <c r="G134" s="27"/>
      <c r="H134" s="27"/>
      <c r="I134" s="27"/>
      <c r="J134" s="27"/>
      <c r="K134" s="27"/>
    </row>
    <row r="135" spans="2:11" x14ac:dyDescent="0.2">
      <c r="B135"/>
      <c r="C135"/>
      <c r="D135"/>
      <c r="E135" s="27"/>
      <c r="F135" s="27"/>
      <c r="G135" s="27"/>
      <c r="H135" s="27"/>
      <c r="I135" s="27"/>
      <c r="J135" s="27"/>
      <c r="K135" s="27"/>
    </row>
    <row r="136" spans="2:11" x14ac:dyDescent="0.2">
      <c r="B136"/>
      <c r="C136"/>
      <c r="D136"/>
      <c r="E136" s="27"/>
      <c r="F136" s="27"/>
      <c r="G136" s="27"/>
      <c r="H136" s="27"/>
      <c r="I136" s="27"/>
      <c r="J136" s="27"/>
      <c r="K136" s="27"/>
    </row>
    <row r="137" spans="2:11" x14ac:dyDescent="0.2">
      <c r="B137"/>
      <c r="C137"/>
      <c r="D137"/>
      <c r="E137" s="27"/>
      <c r="F137" s="27"/>
      <c r="G137" s="27"/>
      <c r="H137" s="27"/>
      <c r="I137" s="27"/>
      <c r="J137" s="27"/>
      <c r="K137" s="27"/>
    </row>
    <row r="138" spans="2:11" x14ac:dyDescent="0.2">
      <c r="B138"/>
      <c r="C138"/>
      <c r="D138"/>
      <c r="E138" s="27"/>
      <c r="F138" s="27"/>
      <c r="G138" s="27"/>
      <c r="H138" s="27"/>
      <c r="I138" s="27"/>
      <c r="J138" s="27"/>
      <c r="K138" s="27"/>
    </row>
    <row r="139" spans="2:11" x14ac:dyDescent="0.2">
      <c r="B139"/>
      <c r="C139"/>
      <c r="D139"/>
      <c r="E139" s="27"/>
      <c r="F139" s="27"/>
      <c r="G139" s="27"/>
      <c r="H139" s="27"/>
      <c r="I139" s="27"/>
      <c r="J139" s="27"/>
      <c r="K139" s="27"/>
    </row>
    <row r="140" spans="2:11" x14ac:dyDescent="0.2">
      <c r="B140"/>
      <c r="C140"/>
      <c r="D140"/>
      <c r="E140" s="27"/>
      <c r="F140" s="27"/>
      <c r="G140" s="27"/>
      <c r="H140" s="27"/>
      <c r="I140" s="27"/>
      <c r="J140" s="27"/>
      <c r="K140" s="27"/>
    </row>
    <row r="141" spans="2:11" x14ac:dyDescent="0.2">
      <c r="B141"/>
      <c r="C141"/>
      <c r="D141"/>
      <c r="E141" s="27"/>
      <c r="F141" s="27"/>
      <c r="G141" s="27"/>
      <c r="H141" s="27"/>
      <c r="I141" s="27"/>
      <c r="J141" s="27"/>
      <c r="K141" s="27"/>
    </row>
    <row r="142" spans="2:11" x14ac:dyDescent="0.2">
      <c r="B142"/>
      <c r="C142"/>
      <c r="D142"/>
      <c r="E142" s="27"/>
      <c r="F142" s="27"/>
      <c r="G142" s="27"/>
      <c r="H142" s="27"/>
      <c r="I142" s="27"/>
      <c r="J142" s="27"/>
      <c r="K142" s="27"/>
    </row>
    <row r="143" spans="2:11" x14ac:dyDescent="0.2">
      <c r="B143"/>
      <c r="C143"/>
      <c r="D143"/>
      <c r="E143" s="27"/>
      <c r="F143" s="27"/>
      <c r="G143" s="27"/>
      <c r="H143" s="27"/>
      <c r="I143" s="27"/>
      <c r="J143" s="27"/>
      <c r="K143" s="27"/>
    </row>
    <row r="144" spans="2:11" x14ac:dyDescent="0.2">
      <c r="B144"/>
      <c r="C144"/>
      <c r="D144"/>
      <c r="E144" s="27"/>
      <c r="F144" s="27"/>
      <c r="G144" s="27"/>
      <c r="H144" s="27"/>
      <c r="I144" s="27"/>
      <c r="J144" s="27"/>
      <c r="K144" s="27"/>
    </row>
    <row r="145" spans="2:11" x14ac:dyDescent="0.2">
      <c r="B145"/>
      <c r="C145"/>
      <c r="D145"/>
      <c r="E145" s="27"/>
      <c r="F145" s="27"/>
      <c r="G145" s="27"/>
      <c r="H145" s="27"/>
      <c r="I145" s="27"/>
      <c r="J145" s="27"/>
      <c r="K145" s="27"/>
    </row>
    <row r="146" spans="2:11" x14ac:dyDescent="0.2">
      <c r="B146"/>
      <c r="C146"/>
      <c r="D146"/>
      <c r="E146" s="27"/>
      <c r="F146" s="27"/>
      <c r="G146" s="27"/>
      <c r="H146" s="27"/>
      <c r="I146" s="27"/>
      <c r="J146" s="27"/>
      <c r="K146" s="27"/>
    </row>
    <row r="147" spans="2:11" x14ac:dyDescent="0.2">
      <c r="B147"/>
      <c r="C147"/>
      <c r="D147"/>
      <c r="E147" s="27"/>
      <c r="F147" s="27"/>
      <c r="G147" s="27"/>
      <c r="H147" s="27"/>
      <c r="I147" s="27"/>
      <c r="J147" s="27"/>
      <c r="K147" s="27"/>
    </row>
    <row r="148" spans="2:11" x14ac:dyDescent="0.2">
      <c r="B148"/>
      <c r="C148"/>
      <c r="D148"/>
      <c r="E148" s="27"/>
      <c r="F148" s="27"/>
      <c r="G148" s="27"/>
      <c r="H148" s="27"/>
      <c r="I148" s="27"/>
      <c r="J148" s="27"/>
      <c r="K148" s="27"/>
    </row>
    <row r="149" spans="2:11" x14ac:dyDescent="0.2">
      <c r="B149"/>
      <c r="C149"/>
      <c r="D149"/>
      <c r="E149" s="27"/>
      <c r="F149" s="27"/>
      <c r="G149" s="27"/>
      <c r="H149" s="27"/>
      <c r="I149" s="27"/>
      <c r="J149" s="27"/>
      <c r="K149" s="27"/>
    </row>
    <row r="150" spans="2:11" x14ac:dyDescent="0.2">
      <c r="B150"/>
      <c r="C150"/>
      <c r="D150"/>
      <c r="E150" s="27"/>
      <c r="F150" s="27"/>
      <c r="G150" s="27"/>
      <c r="H150" s="27"/>
      <c r="I150" s="27"/>
      <c r="J150" s="27"/>
      <c r="K150" s="27"/>
    </row>
    <row r="151" spans="2:11" x14ac:dyDescent="0.2">
      <c r="B151"/>
      <c r="C151"/>
      <c r="D151"/>
      <c r="E151" s="27"/>
      <c r="F151" s="27"/>
      <c r="G151" s="27"/>
      <c r="H151" s="27"/>
      <c r="I151" s="27"/>
      <c r="J151" s="27"/>
      <c r="K151" s="27"/>
    </row>
    <row r="152" spans="2:11" x14ac:dyDescent="0.2">
      <c r="B152"/>
      <c r="C152"/>
      <c r="D152"/>
      <c r="E152" s="27"/>
      <c r="F152" s="27"/>
      <c r="G152" s="27"/>
      <c r="H152" s="27"/>
      <c r="I152" s="27"/>
      <c r="J152" s="27"/>
      <c r="K152" s="27"/>
    </row>
    <row r="153" spans="2:11" x14ac:dyDescent="0.2">
      <c r="B153"/>
      <c r="C153"/>
      <c r="D153"/>
      <c r="E153" s="27"/>
      <c r="F153" s="27"/>
      <c r="G153" s="27"/>
      <c r="H153" s="27"/>
      <c r="I153" s="27"/>
      <c r="J153" s="27"/>
      <c r="K153" s="27"/>
    </row>
    <row r="154" spans="2:11" x14ac:dyDescent="0.2">
      <c r="B154"/>
      <c r="C154"/>
      <c r="D154"/>
      <c r="E154" s="27"/>
      <c r="F154" s="27"/>
      <c r="G154" s="27"/>
      <c r="H154" s="27"/>
      <c r="I154" s="27"/>
      <c r="J154" s="27"/>
      <c r="K154" s="27"/>
    </row>
    <row r="155" spans="2:11" x14ac:dyDescent="0.2">
      <c r="B155"/>
      <c r="C155"/>
      <c r="D155"/>
      <c r="E155" s="27"/>
      <c r="F155" s="27"/>
      <c r="G155" s="27"/>
      <c r="H155" s="27"/>
      <c r="I155" s="27"/>
      <c r="J155" s="27"/>
      <c r="K155" s="27"/>
    </row>
    <row r="156" spans="2:11" x14ac:dyDescent="0.2">
      <c r="B156"/>
      <c r="C156"/>
      <c r="D156"/>
      <c r="E156" s="27"/>
      <c r="F156" s="27"/>
      <c r="G156" s="27"/>
      <c r="H156" s="27"/>
      <c r="I156" s="27"/>
      <c r="J156" s="27"/>
      <c r="K156" s="27"/>
    </row>
    <row r="157" spans="2:11" x14ac:dyDescent="0.2">
      <c r="B157"/>
      <c r="C157"/>
      <c r="D157"/>
      <c r="E157" s="27"/>
      <c r="F157" s="27"/>
      <c r="G157" s="27"/>
      <c r="H157" s="27"/>
      <c r="I157" s="27"/>
      <c r="J157" s="27"/>
      <c r="K157" s="27"/>
    </row>
    <row r="158" spans="2:11" x14ac:dyDescent="0.2">
      <c r="B158"/>
      <c r="C158"/>
      <c r="D158"/>
      <c r="E158" s="27"/>
      <c r="F158" s="27"/>
      <c r="G158" s="27"/>
      <c r="H158" s="27"/>
      <c r="I158" s="27"/>
      <c r="J158" s="27"/>
      <c r="K158" s="27"/>
    </row>
    <row r="159" spans="2:11" x14ac:dyDescent="0.2">
      <c r="B159"/>
      <c r="C159"/>
      <c r="D159"/>
      <c r="E159" s="27"/>
      <c r="F159" s="27"/>
      <c r="G159" s="27"/>
      <c r="H159" s="27"/>
      <c r="I159" s="27"/>
      <c r="J159" s="27"/>
      <c r="K159" s="27"/>
    </row>
    <row r="160" spans="2:11" x14ac:dyDescent="0.2">
      <c r="B160"/>
      <c r="C160"/>
      <c r="D160"/>
      <c r="E160" s="27"/>
      <c r="F160" s="27"/>
      <c r="G160" s="27"/>
      <c r="H160" s="27"/>
      <c r="I160" s="27"/>
      <c r="J160" s="27"/>
      <c r="K160" s="27"/>
    </row>
    <row r="161" spans="2:11" x14ac:dyDescent="0.2">
      <c r="B161"/>
      <c r="C161"/>
      <c r="D161"/>
      <c r="E161" s="27"/>
      <c r="F161" s="27"/>
      <c r="G161" s="27"/>
      <c r="H161" s="27"/>
      <c r="I161" s="27"/>
      <c r="J161" s="27"/>
      <c r="K161" s="27"/>
    </row>
    <row r="162" spans="2:11" x14ac:dyDescent="0.2">
      <c r="B162"/>
      <c r="C162"/>
      <c r="D162"/>
      <c r="E162" s="27"/>
      <c r="F162" s="27"/>
      <c r="G162" s="27"/>
      <c r="H162" s="27"/>
      <c r="I162" s="27"/>
      <c r="J162" s="27"/>
      <c r="K162" s="27"/>
    </row>
    <row r="163" spans="2:11" x14ac:dyDescent="0.2">
      <c r="B163"/>
      <c r="C163"/>
      <c r="D163"/>
      <c r="E163" s="27"/>
      <c r="F163" s="27"/>
      <c r="G163" s="27"/>
      <c r="H163" s="27"/>
      <c r="I163" s="27"/>
      <c r="J163" s="27"/>
      <c r="K163" s="27"/>
    </row>
    <row r="164" spans="2:11" x14ac:dyDescent="0.2">
      <c r="B164"/>
      <c r="C164"/>
      <c r="D164"/>
      <c r="E164" s="27"/>
      <c r="F164" s="27"/>
      <c r="G164" s="27"/>
      <c r="H164" s="27"/>
      <c r="I164" s="27"/>
      <c r="J164" s="27"/>
      <c r="K164" s="27"/>
    </row>
    <row r="165" spans="2:11" x14ac:dyDescent="0.2">
      <c r="B165"/>
      <c r="C165"/>
      <c r="D165"/>
      <c r="E165" s="27"/>
      <c r="F165" s="27"/>
      <c r="G165" s="27"/>
      <c r="H165" s="27"/>
      <c r="I165" s="27"/>
      <c r="J165" s="27"/>
      <c r="K165" s="27"/>
    </row>
    <row r="166" spans="2:11" x14ac:dyDescent="0.2">
      <c r="B166"/>
      <c r="C166"/>
      <c r="D166"/>
      <c r="E166" s="27"/>
      <c r="F166" s="27"/>
      <c r="G166" s="27"/>
      <c r="H166" s="27"/>
      <c r="I166" s="27"/>
      <c r="J166" s="27"/>
      <c r="K166" s="27"/>
    </row>
    <row r="167" spans="2:11" x14ac:dyDescent="0.2">
      <c r="B167"/>
      <c r="C167"/>
      <c r="D167"/>
      <c r="E167" s="27"/>
      <c r="F167" s="27"/>
      <c r="G167" s="27"/>
      <c r="H167" s="27"/>
      <c r="I167" s="27"/>
      <c r="J167" s="27"/>
      <c r="K167" s="27"/>
    </row>
    <row r="168" spans="2:11" x14ac:dyDescent="0.2">
      <c r="B168"/>
      <c r="C168"/>
      <c r="D168"/>
      <c r="E168" s="27"/>
      <c r="F168" s="27"/>
      <c r="G168" s="27"/>
      <c r="H168" s="27"/>
      <c r="I168" s="27"/>
      <c r="J168" s="27"/>
      <c r="K168" s="27"/>
    </row>
    <row r="169" spans="2:11" x14ac:dyDescent="0.2">
      <c r="B169"/>
      <c r="C169"/>
      <c r="D169"/>
      <c r="E169" s="27"/>
      <c r="F169" s="27"/>
      <c r="G169" s="27"/>
      <c r="H169" s="27"/>
      <c r="I169" s="27"/>
      <c r="J169" s="27"/>
      <c r="K169" s="27"/>
    </row>
    <row r="170" spans="2:11" x14ac:dyDescent="0.2">
      <c r="B170"/>
      <c r="C170"/>
      <c r="D170"/>
      <c r="E170" s="27"/>
      <c r="F170" s="27"/>
      <c r="G170" s="27"/>
      <c r="H170" s="27"/>
      <c r="I170" s="27"/>
      <c r="J170" s="27"/>
      <c r="K170" s="27"/>
    </row>
    <row r="171" spans="2:11" x14ac:dyDescent="0.2">
      <c r="B171"/>
      <c r="C171"/>
      <c r="D171"/>
      <c r="E171" s="27"/>
      <c r="F171" s="27"/>
      <c r="G171" s="27"/>
      <c r="H171" s="27"/>
      <c r="I171" s="27"/>
      <c r="J171" s="27"/>
      <c r="K171" s="27"/>
    </row>
    <row r="172" spans="2:11" x14ac:dyDescent="0.2">
      <c r="B172"/>
      <c r="C172"/>
      <c r="D172"/>
      <c r="E172" s="27"/>
      <c r="F172" s="27"/>
      <c r="G172" s="27"/>
      <c r="H172" s="27"/>
      <c r="I172" s="27"/>
      <c r="J172" s="27"/>
      <c r="K172" s="27"/>
    </row>
    <row r="173" spans="2:11" x14ac:dyDescent="0.2">
      <c r="B173"/>
      <c r="C173"/>
      <c r="D173"/>
      <c r="E173" s="27"/>
      <c r="F173" s="27"/>
      <c r="G173" s="27"/>
      <c r="H173" s="27"/>
      <c r="I173" s="27"/>
      <c r="J173" s="27"/>
      <c r="K173" s="27"/>
    </row>
    <row r="174" spans="2:11" x14ac:dyDescent="0.2">
      <c r="B174"/>
      <c r="C174"/>
      <c r="D174"/>
      <c r="E174" s="27"/>
      <c r="F174" s="27"/>
      <c r="G174" s="27"/>
      <c r="H174" s="27"/>
      <c r="I174" s="27"/>
      <c r="J174" s="27"/>
      <c r="K174" s="27"/>
    </row>
    <row r="175" spans="2:11" x14ac:dyDescent="0.2">
      <c r="B175"/>
      <c r="C175"/>
      <c r="D175"/>
      <c r="E175" s="27"/>
      <c r="F175" s="27"/>
      <c r="G175" s="27"/>
      <c r="H175" s="27"/>
      <c r="I175" s="27"/>
      <c r="J175" s="27"/>
      <c r="K175" s="27"/>
    </row>
    <row r="176" spans="2:11" x14ac:dyDescent="0.2">
      <c r="B176"/>
      <c r="C176"/>
      <c r="D176"/>
      <c r="E176" s="27"/>
      <c r="F176" s="27"/>
      <c r="G176" s="27"/>
      <c r="H176" s="27"/>
      <c r="I176" s="27"/>
      <c r="J176" s="27"/>
      <c r="K176" s="27"/>
    </row>
    <row r="177" spans="2:11" x14ac:dyDescent="0.2">
      <c r="B177"/>
      <c r="C177"/>
      <c r="D177"/>
      <c r="E177" s="27"/>
      <c r="F177" s="27"/>
      <c r="G177" s="27"/>
      <c r="H177" s="27"/>
      <c r="I177" s="27"/>
      <c r="J177" s="27"/>
      <c r="K177" s="27"/>
    </row>
    <row r="178" spans="2:11" x14ac:dyDescent="0.2">
      <c r="B178"/>
      <c r="C178"/>
      <c r="D178"/>
      <c r="E178" s="27"/>
      <c r="F178" s="27"/>
      <c r="G178" s="27"/>
      <c r="H178" s="27"/>
      <c r="I178" s="27"/>
      <c r="J178" s="27"/>
      <c r="K178" s="27"/>
    </row>
    <row r="179" spans="2:11" x14ac:dyDescent="0.2">
      <c r="B179"/>
      <c r="C179"/>
      <c r="D179"/>
      <c r="E179" s="27"/>
      <c r="F179" s="27"/>
      <c r="G179" s="27"/>
      <c r="H179" s="27"/>
      <c r="I179" s="27"/>
      <c r="J179" s="27"/>
      <c r="K179" s="27"/>
    </row>
    <row r="180" spans="2:11" x14ac:dyDescent="0.2">
      <c r="B180"/>
      <c r="C180"/>
      <c r="D180"/>
      <c r="E180" s="27"/>
      <c r="F180" s="27"/>
      <c r="G180" s="27"/>
      <c r="H180" s="27"/>
      <c r="I180" s="27"/>
      <c r="J180" s="27"/>
      <c r="K180" s="27"/>
    </row>
    <row r="181" spans="2:11" x14ac:dyDescent="0.2">
      <c r="B181"/>
      <c r="C181"/>
      <c r="D181"/>
      <c r="E181" s="27"/>
      <c r="F181" s="27"/>
      <c r="G181" s="27"/>
      <c r="H181" s="27"/>
      <c r="I181" s="27"/>
      <c r="J181" s="27"/>
      <c r="K181" s="27"/>
    </row>
    <row r="182" spans="2:11" x14ac:dyDescent="0.2">
      <c r="B182"/>
      <c r="C182"/>
      <c r="D182"/>
      <c r="E182" s="27"/>
      <c r="F182" s="27"/>
      <c r="G182" s="27"/>
      <c r="H182" s="27"/>
      <c r="I182" s="27"/>
      <c r="J182" s="27"/>
      <c r="K182" s="27"/>
    </row>
    <row r="183" spans="2:11" x14ac:dyDescent="0.2">
      <c r="B183"/>
      <c r="C183"/>
      <c r="D183"/>
      <c r="E183" s="27"/>
      <c r="F183" s="27"/>
      <c r="G183" s="27"/>
      <c r="H183" s="27"/>
      <c r="I183" s="27"/>
      <c r="J183" s="27"/>
      <c r="K183" s="27"/>
    </row>
  </sheetData>
  <mergeCells count="1">
    <mergeCell ref="A1:M1"/>
  </mergeCells>
  <phoneticPr fontId="0" type="noConversion"/>
  <pageMargins left="0" right="0" top="0" bottom="0" header="0" footer="0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1"/>
  <sheetViews>
    <sheetView workbookViewId="0">
      <selection activeCell="A6" sqref="A6"/>
    </sheetView>
  </sheetViews>
  <sheetFormatPr defaultColWidth="10" defaultRowHeight="12.75" x14ac:dyDescent="0.2"/>
  <cols>
    <col min="1" max="1" width="14.28515625" style="17" customWidth="1"/>
    <col min="2" max="2" width="32.28515625" style="17" customWidth="1"/>
    <col min="3" max="3" width="17" style="18" customWidth="1"/>
    <col min="4" max="4" width="2.28515625" style="18" customWidth="1"/>
    <col min="5" max="5" width="17" style="18" customWidth="1"/>
    <col min="6" max="6" width="2.28515625" style="18" customWidth="1"/>
    <col min="7" max="7" width="15" style="21" customWidth="1"/>
    <col min="8" max="8" width="2.28515625" style="21" customWidth="1"/>
    <col min="9" max="9" width="15" style="21" customWidth="1"/>
    <col min="10" max="10" width="2.28515625" customWidth="1"/>
    <col min="11" max="11" width="15" style="233" customWidth="1"/>
    <col min="12" max="16384" width="10" style="17"/>
  </cols>
  <sheetData>
    <row r="1" spans="1:11" x14ac:dyDescent="0.2">
      <c r="A1" s="326" t="s">
        <v>254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1" x14ac:dyDescent="0.2">
      <c r="A2" s="157"/>
      <c r="B2" s="157"/>
      <c r="C2" s="157"/>
      <c r="D2" s="157"/>
      <c r="E2" s="157"/>
      <c r="F2" s="157"/>
      <c r="G2" s="157"/>
      <c r="H2" s="157"/>
      <c r="I2" s="157"/>
    </row>
    <row r="3" spans="1:11" x14ac:dyDescent="0.2">
      <c r="A3" s="30"/>
      <c r="C3" s="42" t="str">
        <f>cover!C6</f>
        <v>APPROVED</v>
      </c>
      <c r="D3" s="50"/>
      <c r="E3" s="42" t="str">
        <f>cover!E6</f>
        <v xml:space="preserve"> </v>
      </c>
      <c r="F3" s="50"/>
      <c r="G3" s="42" t="str">
        <f>cover!G6</f>
        <v>APPROVED</v>
      </c>
      <c r="H3" s="42"/>
      <c r="I3" s="42" t="str">
        <f>cover!I6</f>
        <v>REQUESTED</v>
      </c>
      <c r="J3" s="37"/>
      <c r="K3" s="126" t="str">
        <f>cover!K6</f>
        <v>PERCENT</v>
      </c>
    </row>
    <row r="4" spans="1:11" x14ac:dyDescent="0.2">
      <c r="A4" s="30"/>
      <c r="B4" s="30"/>
      <c r="C4" s="42" t="str">
        <f>cover!C7</f>
        <v>BUDGET</v>
      </c>
      <c r="D4" s="42"/>
      <c r="E4" s="42" t="str">
        <f>cover!E7</f>
        <v>ACTUAL</v>
      </c>
      <c r="F4" s="42"/>
      <c r="G4" s="42" t="str">
        <f>cover!G7</f>
        <v>BUDGET</v>
      </c>
      <c r="H4" s="42"/>
      <c r="I4" s="42" t="str">
        <f>cover!I7</f>
        <v>BUDGET</v>
      </c>
      <c r="J4" s="37"/>
      <c r="K4" s="126" t="str">
        <f>cover!K7</f>
        <v>CHANGE</v>
      </c>
    </row>
    <row r="5" spans="1:11" x14ac:dyDescent="0.2">
      <c r="A5" s="158"/>
      <c r="B5" s="158"/>
      <c r="C5" s="292" t="str">
        <f>cover!C8</f>
        <v>2010-11</v>
      </c>
      <c r="D5" s="292"/>
      <c r="E5" s="292" t="str">
        <f>cover!E8</f>
        <v>2010-11</v>
      </c>
      <c r="F5" s="292"/>
      <c r="G5" s="292" t="str">
        <f>cover!G8</f>
        <v>2011 -12</v>
      </c>
      <c r="H5" s="292"/>
      <c r="I5" s="292" t="str">
        <f>cover!I8</f>
        <v>2012 -13</v>
      </c>
      <c r="J5" s="293"/>
      <c r="K5" s="294" t="str">
        <f>cover!K8</f>
        <v>FY12/FY13</v>
      </c>
    </row>
    <row r="6" spans="1:11" x14ac:dyDescent="0.2">
      <c r="A6" s="2" t="s">
        <v>19</v>
      </c>
      <c r="B6" s="30"/>
      <c r="C6" s="42"/>
      <c r="D6" s="42"/>
      <c r="E6" s="42"/>
      <c r="F6" s="42"/>
      <c r="G6" s="42"/>
      <c r="H6" s="42"/>
      <c r="I6" s="42"/>
      <c r="J6" s="37"/>
      <c r="K6" s="126"/>
    </row>
    <row r="7" spans="1:11" x14ac:dyDescent="0.2">
      <c r="A7" s="30"/>
      <c r="B7" s="2" t="s">
        <v>236</v>
      </c>
      <c r="C7" s="71">
        <v>91530</v>
      </c>
      <c r="D7" s="115"/>
      <c r="E7" s="115">
        <v>91530</v>
      </c>
      <c r="F7" s="115"/>
      <c r="G7" s="71">
        <v>91530</v>
      </c>
      <c r="H7" s="71"/>
      <c r="I7" s="71">
        <v>91530</v>
      </c>
      <c r="J7" s="100"/>
      <c r="K7" s="270">
        <f>+(I7-G7)/G7</f>
        <v>0</v>
      </c>
    </row>
    <row r="8" spans="1:11" x14ac:dyDescent="0.2">
      <c r="A8" s="30"/>
      <c r="B8" s="281" t="s">
        <v>20</v>
      </c>
      <c r="C8" s="70">
        <f>C7</f>
        <v>91530</v>
      </c>
      <c r="D8" s="33"/>
      <c r="E8" s="65">
        <f>E7</f>
        <v>91530</v>
      </c>
      <c r="F8" s="33"/>
      <c r="G8" s="70">
        <f>G7</f>
        <v>91530</v>
      </c>
      <c r="H8" s="68"/>
      <c r="I8" s="70">
        <f>I7</f>
        <v>91530</v>
      </c>
      <c r="J8" s="100"/>
      <c r="K8" s="272">
        <f>K7</f>
        <v>0</v>
      </c>
    </row>
    <row r="9" spans="1:11" x14ac:dyDescent="0.2">
      <c r="A9" s="30"/>
      <c r="B9" s="257"/>
      <c r="C9" s="68"/>
      <c r="D9" s="33"/>
      <c r="E9" s="33"/>
      <c r="F9" s="33"/>
      <c r="G9" s="68"/>
      <c r="H9" s="68"/>
      <c r="I9" s="68"/>
      <c r="J9" s="100"/>
      <c r="K9" s="253"/>
    </row>
    <row r="10" spans="1:11" x14ac:dyDescent="0.2">
      <c r="A10" s="30" t="s">
        <v>37</v>
      </c>
      <c r="B10" s="30"/>
      <c r="C10" s="68"/>
      <c r="D10" s="33"/>
      <c r="E10" s="33"/>
      <c r="F10" s="33"/>
      <c r="G10" s="68"/>
      <c r="H10" s="68"/>
      <c r="I10" s="68"/>
      <c r="J10" s="100"/>
      <c r="K10" s="253"/>
    </row>
    <row r="11" spans="1:11" x14ac:dyDescent="0.2">
      <c r="A11" s="30"/>
      <c r="B11" s="2" t="s">
        <v>172</v>
      </c>
      <c r="C11" s="122">
        <f>56545+4000</f>
        <v>60545</v>
      </c>
      <c r="D11" s="115"/>
      <c r="E11" s="115">
        <v>73016.12</v>
      </c>
      <c r="F11" s="115"/>
      <c r="G11" s="122">
        <v>61272</v>
      </c>
      <c r="H11" s="122"/>
      <c r="I11" s="122">
        <f>+E11+(E11*0.03)</f>
        <v>75206.603600000002</v>
      </c>
      <c r="J11" s="100"/>
      <c r="K11" s="270">
        <f>+(I11-G11)/G11</f>
        <v>0.22742204595900251</v>
      </c>
    </row>
    <row r="12" spans="1:11" x14ac:dyDescent="0.2">
      <c r="A12" s="30"/>
      <c r="B12" s="31" t="s">
        <v>23</v>
      </c>
      <c r="C12" s="70">
        <f>SUM(C11:C11)</f>
        <v>60545</v>
      </c>
      <c r="D12" s="33"/>
      <c r="E12" s="83">
        <f>SUM(E11:E11)</f>
        <v>73016.12</v>
      </c>
      <c r="F12" s="33"/>
      <c r="G12" s="70">
        <f>SUM(G11:G11)</f>
        <v>61272</v>
      </c>
      <c r="H12" s="68"/>
      <c r="I12" s="70">
        <f>SUM(I11:I11)</f>
        <v>75206.603600000002</v>
      </c>
      <c r="J12" s="284"/>
      <c r="K12" s="272">
        <f>+(I12-G12)/G12</f>
        <v>0.22742204595900251</v>
      </c>
    </row>
    <row r="13" spans="1:11" x14ac:dyDescent="0.2">
      <c r="A13" s="30" t="s">
        <v>24</v>
      </c>
      <c r="B13" s="30"/>
      <c r="C13" s="33"/>
      <c r="D13" s="33"/>
      <c r="E13" s="33"/>
      <c r="F13" s="33"/>
      <c r="G13" s="68"/>
      <c r="H13" s="68"/>
      <c r="I13" s="68"/>
      <c r="J13" s="284"/>
      <c r="K13" s="253"/>
    </row>
    <row r="14" spans="1:11" x14ac:dyDescent="0.2">
      <c r="A14" s="30"/>
      <c r="B14" s="2" t="s">
        <v>175</v>
      </c>
      <c r="C14" s="71">
        <v>1716</v>
      </c>
      <c r="D14" s="115"/>
      <c r="E14" s="115">
        <v>3909.48</v>
      </c>
      <c r="F14" s="115"/>
      <c r="G14" s="71">
        <v>1838</v>
      </c>
      <c r="H14" s="71"/>
      <c r="I14" s="71">
        <f>+I11*0.03</f>
        <v>2256.198108</v>
      </c>
      <c r="J14" s="284"/>
      <c r="K14" s="270">
        <f>+(I14-G14)/G14</f>
        <v>0.22752889445048968</v>
      </c>
    </row>
    <row r="15" spans="1:11" x14ac:dyDescent="0.2">
      <c r="A15" s="30"/>
      <c r="B15" s="12" t="s">
        <v>38</v>
      </c>
      <c r="C15" s="166">
        <f>SUM(C14:C14)</f>
        <v>1716</v>
      </c>
      <c r="D15" s="115"/>
      <c r="E15" s="167">
        <f>SUM(E14:E14)</f>
        <v>3909.48</v>
      </c>
      <c r="F15" s="115"/>
      <c r="G15" s="166">
        <f>SUM(G14:G14)</f>
        <v>1838</v>
      </c>
      <c r="H15" s="71"/>
      <c r="I15" s="166">
        <f>SUM(I14:I14)</f>
        <v>2256.198108</v>
      </c>
      <c r="J15" s="284"/>
      <c r="K15" s="272">
        <f>+(I15-G15)/G15</f>
        <v>0.22752889445048968</v>
      </c>
    </row>
    <row r="16" spans="1:11" x14ac:dyDescent="0.2">
      <c r="A16" s="30"/>
      <c r="B16" s="30"/>
      <c r="C16" s="33"/>
      <c r="D16" s="33"/>
      <c r="E16" s="33"/>
      <c r="F16" s="33"/>
      <c r="G16" s="68"/>
      <c r="H16" s="68"/>
      <c r="I16" s="68"/>
      <c r="J16" s="100"/>
      <c r="K16" s="253"/>
    </row>
    <row r="17" spans="1:11" x14ac:dyDescent="0.2">
      <c r="A17" s="30" t="s">
        <v>27</v>
      </c>
      <c r="B17" s="30"/>
      <c r="C17" s="33"/>
      <c r="D17" s="33"/>
      <c r="E17" s="33"/>
      <c r="F17" s="33"/>
      <c r="G17" s="68"/>
      <c r="H17" s="68"/>
      <c r="I17" s="68"/>
      <c r="J17" s="285"/>
      <c r="K17" s="253"/>
    </row>
    <row r="18" spans="1:11" x14ac:dyDescent="0.2">
      <c r="A18" s="30"/>
      <c r="B18" s="2" t="s">
        <v>237</v>
      </c>
      <c r="C18" s="33"/>
      <c r="D18" s="33"/>
      <c r="E18" s="33"/>
      <c r="F18" s="33"/>
      <c r="G18" s="68"/>
      <c r="H18" s="68"/>
      <c r="I18" s="68"/>
      <c r="J18" s="285"/>
      <c r="K18" s="253"/>
    </row>
    <row r="19" spans="1:11" x14ac:dyDescent="0.2">
      <c r="A19" s="30"/>
      <c r="B19" s="13" t="s">
        <v>238</v>
      </c>
      <c r="C19" s="71">
        <v>70233</v>
      </c>
      <c r="D19" s="115"/>
      <c r="E19" s="115">
        <v>74429.929999999993</v>
      </c>
      <c r="F19" s="115"/>
      <c r="G19" s="71">
        <v>70233</v>
      </c>
      <c r="H19" s="71"/>
      <c r="I19" s="71">
        <v>70233</v>
      </c>
      <c r="J19" s="100"/>
      <c r="K19" s="270">
        <f t="shared" ref="K19:K20" si="0">+(I19-G19)/G19</f>
        <v>0</v>
      </c>
    </row>
    <row r="20" spans="1:11" x14ac:dyDescent="0.2">
      <c r="A20" s="30"/>
      <c r="B20" s="13" t="s">
        <v>239</v>
      </c>
      <c r="C20" s="71">
        <v>16245</v>
      </c>
      <c r="D20" s="115"/>
      <c r="E20" s="115">
        <v>4438.59</v>
      </c>
      <c r="F20" s="115"/>
      <c r="G20" s="71">
        <v>16245</v>
      </c>
      <c r="H20" s="71"/>
      <c r="I20" s="71">
        <v>16245</v>
      </c>
      <c r="J20" s="100"/>
      <c r="K20" s="270">
        <f t="shared" si="0"/>
        <v>0</v>
      </c>
    </row>
    <row r="21" spans="1:11" x14ac:dyDescent="0.2">
      <c r="A21" s="30"/>
      <c r="B21" s="13" t="s">
        <v>103</v>
      </c>
      <c r="C21" s="71"/>
      <c r="D21" s="115"/>
      <c r="E21" s="115"/>
      <c r="F21" s="115"/>
      <c r="G21" s="71"/>
      <c r="H21" s="71"/>
      <c r="I21" s="71"/>
      <c r="J21" s="100"/>
      <c r="K21" s="270"/>
    </row>
    <row r="22" spans="1:11" x14ac:dyDescent="0.2">
      <c r="A22" s="30"/>
      <c r="B22" s="13" t="s">
        <v>240</v>
      </c>
      <c r="C22" s="71">
        <v>27867</v>
      </c>
      <c r="D22" s="115"/>
      <c r="E22" s="115">
        <v>33748.300000000003</v>
      </c>
      <c r="F22" s="115"/>
      <c r="G22" s="71">
        <v>27867</v>
      </c>
      <c r="H22" s="71"/>
      <c r="I22" s="71">
        <v>28424</v>
      </c>
      <c r="J22" s="100"/>
      <c r="K22" s="270">
        <f t="shared" ref="K22:K23" si="1">+(I22-G22)/G22</f>
        <v>1.9987799189004916E-2</v>
      </c>
    </row>
    <row r="23" spans="1:11" x14ac:dyDescent="0.2">
      <c r="A23" s="30"/>
      <c r="B23" s="13" t="s">
        <v>241</v>
      </c>
      <c r="C23" s="71">
        <v>131286</v>
      </c>
      <c r="D23" s="115"/>
      <c r="E23" s="115">
        <v>104423.16</v>
      </c>
      <c r="F23" s="115"/>
      <c r="G23" s="71">
        <v>131286</v>
      </c>
      <c r="H23" s="71"/>
      <c r="I23" s="71">
        <v>131286</v>
      </c>
      <c r="J23" s="100"/>
      <c r="K23" s="270">
        <f t="shared" si="1"/>
        <v>0</v>
      </c>
    </row>
    <row r="24" spans="1:11" x14ac:dyDescent="0.2">
      <c r="A24" s="30"/>
      <c r="B24" s="13" t="s">
        <v>243</v>
      </c>
      <c r="C24" s="71"/>
      <c r="D24" s="115"/>
      <c r="E24" s="115">
        <v>3500</v>
      </c>
      <c r="F24" s="115"/>
      <c r="G24" s="71"/>
      <c r="H24" s="71"/>
      <c r="I24" s="71"/>
      <c r="J24" s="100"/>
      <c r="K24" s="270"/>
    </row>
    <row r="25" spans="1:11" x14ac:dyDescent="0.2">
      <c r="A25" s="30"/>
      <c r="B25" s="63" t="s">
        <v>112</v>
      </c>
      <c r="C25" s="71">
        <v>215474</v>
      </c>
      <c r="D25" s="115"/>
      <c r="E25" s="115">
        <v>0</v>
      </c>
      <c r="F25" s="115"/>
      <c r="G25" s="71">
        <v>215474</v>
      </c>
      <c r="H25" s="71"/>
      <c r="I25" s="71">
        <v>215474</v>
      </c>
      <c r="J25" s="100"/>
      <c r="K25" s="270">
        <f t="shared" ref="K25:K27" si="2">+(I25-G25)/G25</f>
        <v>0</v>
      </c>
    </row>
    <row r="26" spans="1:11" x14ac:dyDescent="0.2">
      <c r="A26" s="30"/>
      <c r="B26" s="2" t="s">
        <v>242</v>
      </c>
      <c r="C26" s="71">
        <v>68289</v>
      </c>
      <c r="D26" s="115"/>
      <c r="E26" s="115">
        <v>0</v>
      </c>
      <c r="F26" s="115"/>
      <c r="G26" s="71">
        <v>68289</v>
      </c>
      <c r="H26" s="71"/>
      <c r="I26" s="71">
        <v>68289</v>
      </c>
      <c r="J26" s="100"/>
      <c r="K26" s="270">
        <f t="shared" si="2"/>
        <v>0</v>
      </c>
    </row>
    <row r="27" spans="1:11" x14ac:dyDescent="0.2">
      <c r="A27" s="30"/>
      <c r="B27" s="2" t="s">
        <v>244</v>
      </c>
      <c r="C27" s="71">
        <v>950</v>
      </c>
      <c r="D27" s="115"/>
      <c r="E27" s="115">
        <v>3877.63</v>
      </c>
      <c r="F27" s="115"/>
      <c r="G27" s="71">
        <v>950</v>
      </c>
      <c r="H27" s="71"/>
      <c r="I27" s="71">
        <v>969</v>
      </c>
      <c r="J27" s="100"/>
      <c r="K27" s="270">
        <f t="shared" si="2"/>
        <v>0.02</v>
      </c>
    </row>
    <row r="28" spans="1:11" x14ac:dyDescent="0.2">
      <c r="A28" s="30"/>
      <c r="B28" s="12" t="s">
        <v>76</v>
      </c>
      <c r="C28" s="70">
        <f>SUM(C19:C27)</f>
        <v>530344</v>
      </c>
      <c r="D28" s="33"/>
      <c r="E28" s="83">
        <f>SUM(E19:E27)</f>
        <v>224417.61</v>
      </c>
      <c r="F28" s="33"/>
      <c r="G28" s="70">
        <f>SUM(G19:G27)</f>
        <v>530344</v>
      </c>
      <c r="H28" s="68"/>
      <c r="I28" s="70">
        <f>SUM(I19:I27)</f>
        <v>530920</v>
      </c>
      <c r="J28" s="100"/>
      <c r="K28" s="272">
        <f>+(I28-G28)/G28</f>
        <v>1.0860875205526979E-3</v>
      </c>
    </row>
    <row r="29" spans="1:11" x14ac:dyDescent="0.2">
      <c r="A29" s="30"/>
      <c r="B29" s="31"/>
      <c r="C29" s="33"/>
      <c r="D29" s="33"/>
      <c r="E29" s="33"/>
      <c r="F29" s="33"/>
      <c r="G29" s="68"/>
      <c r="H29" s="68"/>
      <c r="I29" s="68"/>
      <c r="J29" s="100"/>
      <c r="K29" s="270"/>
    </row>
    <row r="30" spans="1:11" x14ac:dyDescent="0.2">
      <c r="A30" s="30"/>
      <c r="B30" s="63" t="s">
        <v>33</v>
      </c>
      <c r="C30" s="67">
        <f>SUM(C28+C15+C12)</f>
        <v>592605</v>
      </c>
      <c r="D30" s="33"/>
      <c r="E30" s="81">
        <f>SUM(E28+E15+E12)</f>
        <v>301343.20999999996</v>
      </c>
      <c r="F30" s="33"/>
      <c r="G30" s="67">
        <f>SUM(G28+G15+G12)</f>
        <v>593454</v>
      </c>
      <c r="H30" s="68"/>
      <c r="I30" s="67">
        <f>SUM(I28+I14+I12)</f>
        <v>608382.80170800001</v>
      </c>
      <c r="J30" s="100"/>
      <c r="K30" s="274">
        <f t="shared" ref="K30" si="3">+(I30-G30)/G30</f>
        <v>2.5155785803111973E-2</v>
      </c>
    </row>
    <row r="31" spans="1:11" x14ac:dyDescent="0.2">
      <c r="A31" s="30"/>
      <c r="B31" s="30"/>
      <c r="C31" s="33"/>
      <c r="D31" s="33"/>
      <c r="E31" s="33"/>
      <c r="F31" s="33"/>
      <c r="G31" s="68"/>
      <c r="H31" s="68"/>
      <c r="I31" s="68"/>
      <c r="J31" s="100"/>
      <c r="K31" s="270"/>
    </row>
    <row r="32" spans="1:11" ht="13.5" thickBot="1" x14ac:dyDescent="0.25">
      <c r="A32" s="30"/>
      <c r="B32" s="30" t="s">
        <v>46</v>
      </c>
      <c r="C32" s="226">
        <f>+C7-C30</f>
        <v>-501075</v>
      </c>
      <c r="D32" s="33"/>
      <c r="E32" s="227">
        <f>+E7-E30</f>
        <v>-209813.20999999996</v>
      </c>
      <c r="F32" s="33"/>
      <c r="G32" s="226">
        <f>+G7-G30</f>
        <v>-501924</v>
      </c>
      <c r="H32" s="33"/>
      <c r="I32" s="228">
        <f>+I7-I30</f>
        <v>-516852.80170800001</v>
      </c>
      <c r="J32" s="100"/>
      <c r="K32" s="277">
        <f t="shared" ref="K32" si="4">+(I32-G32)/G32</f>
        <v>2.9743151767996776E-2</v>
      </c>
    </row>
    <row r="33" spans="2:10" ht="13.5" thickTop="1" x14ac:dyDescent="0.2">
      <c r="B33" s="2"/>
      <c r="C33" s="26"/>
      <c r="D33" s="26"/>
      <c r="E33" s="26"/>
      <c r="F33" s="26"/>
      <c r="G33" s="73"/>
      <c r="H33" s="73"/>
      <c r="I33" s="73"/>
      <c r="J33" s="95"/>
    </row>
    <row r="34" spans="2:10" x14ac:dyDescent="0.2">
      <c r="B34" s="12"/>
      <c r="C34" s="26"/>
      <c r="D34" s="26"/>
      <c r="E34" s="26"/>
      <c r="F34" s="26"/>
      <c r="G34" s="73"/>
      <c r="H34" s="73"/>
      <c r="I34" s="73"/>
    </row>
    <row r="35" spans="2:10" x14ac:dyDescent="0.2">
      <c r="G35" s="18"/>
      <c r="H35" s="18"/>
      <c r="I35" s="18"/>
    </row>
    <row r="36" spans="2:10" x14ac:dyDescent="0.2">
      <c r="G36" s="18"/>
      <c r="H36" s="18"/>
      <c r="I36" s="79"/>
    </row>
    <row r="37" spans="2:10" x14ac:dyDescent="0.2">
      <c r="G37" s="18"/>
      <c r="H37" s="18"/>
      <c r="I37" s="18"/>
    </row>
    <row r="38" spans="2:10" x14ac:dyDescent="0.2">
      <c r="G38" s="18"/>
      <c r="H38" s="18"/>
      <c r="I38" s="18"/>
    </row>
    <row r="39" spans="2:10" x14ac:dyDescent="0.2">
      <c r="G39" s="18"/>
      <c r="H39" s="18"/>
      <c r="I39" s="18"/>
    </row>
    <row r="40" spans="2:10" x14ac:dyDescent="0.2">
      <c r="G40" s="18"/>
      <c r="H40" s="18"/>
      <c r="I40" s="18"/>
    </row>
    <row r="41" spans="2:10" x14ac:dyDescent="0.2">
      <c r="G41" s="18"/>
      <c r="H41" s="18"/>
      <c r="I41" s="18"/>
    </row>
    <row r="42" spans="2:10" x14ac:dyDescent="0.2">
      <c r="G42" s="18"/>
      <c r="H42" s="18"/>
      <c r="I42" s="18"/>
    </row>
    <row r="43" spans="2:10" x14ac:dyDescent="0.2">
      <c r="G43" s="18"/>
      <c r="H43" s="18"/>
      <c r="I43" s="18"/>
    </row>
    <row r="44" spans="2:10" x14ac:dyDescent="0.2">
      <c r="G44" s="18"/>
      <c r="H44" s="18"/>
      <c r="I44" s="18"/>
    </row>
    <row r="45" spans="2:10" x14ac:dyDescent="0.2">
      <c r="G45" s="18"/>
      <c r="H45" s="18"/>
      <c r="I45" s="18"/>
    </row>
    <row r="46" spans="2:10" x14ac:dyDescent="0.2">
      <c r="G46" s="18"/>
      <c r="H46" s="18"/>
      <c r="I46" s="18"/>
    </row>
    <row r="47" spans="2:10" x14ac:dyDescent="0.2">
      <c r="G47" s="18"/>
      <c r="H47" s="18"/>
      <c r="I47" s="18"/>
    </row>
    <row r="48" spans="2:10" x14ac:dyDescent="0.2">
      <c r="G48" s="18"/>
      <c r="H48" s="18"/>
      <c r="I48" s="18"/>
    </row>
    <row r="49" spans="7:9" x14ac:dyDescent="0.2">
      <c r="G49" s="18"/>
      <c r="H49" s="18"/>
      <c r="I49" s="18"/>
    </row>
    <row r="50" spans="7:9" x14ac:dyDescent="0.2">
      <c r="G50" s="18"/>
      <c r="H50" s="18"/>
      <c r="I50" s="18"/>
    </row>
    <row r="51" spans="7:9" x14ac:dyDescent="0.2">
      <c r="G51" s="18"/>
      <c r="H51" s="18"/>
      <c r="I51" s="18"/>
    </row>
    <row r="52" spans="7:9" x14ac:dyDescent="0.2">
      <c r="G52" s="18"/>
      <c r="H52" s="18"/>
      <c r="I52" s="18"/>
    </row>
    <row r="53" spans="7:9" x14ac:dyDescent="0.2">
      <c r="G53" s="18"/>
      <c r="H53" s="18"/>
      <c r="I53" s="18"/>
    </row>
    <row r="54" spans="7:9" x14ac:dyDescent="0.2">
      <c r="G54" s="18"/>
      <c r="H54" s="18"/>
      <c r="I54" s="18"/>
    </row>
    <row r="55" spans="7:9" x14ac:dyDescent="0.2">
      <c r="G55" s="18"/>
      <c r="H55" s="18"/>
      <c r="I55" s="18"/>
    </row>
    <row r="56" spans="7:9" x14ac:dyDescent="0.2">
      <c r="G56" s="18"/>
      <c r="H56" s="18"/>
      <c r="I56" s="18"/>
    </row>
    <row r="57" spans="7:9" x14ac:dyDescent="0.2">
      <c r="G57" s="18"/>
      <c r="H57" s="18"/>
      <c r="I57" s="18"/>
    </row>
    <row r="58" spans="7:9" x14ac:dyDescent="0.2">
      <c r="G58" s="18"/>
      <c r="H58" s="18"/>
      <c r="I58" s="18"/>
    </row>
    <row r="59" spans="7:9" x14ac:dyDescent="0.2">
      <c r="G59" s="18"/>
      <c r="H59" s="18"/>
      <c r="I59" s="18"/>
    </row>
    <row r="60" spans="7:9" x14ac:dyDescent="0.2">
      <c r="G60" s="18"/>
      <c r="H60" s="18"/>
      <c r="I60" s="18"/>
    </row>
    <row r="61" spans="7:9" x14ac:dyDescent="0.2">
      <c r="G61" s="18"/>
      <c r="H61" s="18"/>
      <c r="I61" s="18"/>
    </row>
    <row r="62" spans="7:9" x14ac:dyDescent="0.2">
      <c r="G62" s="18"/>
      <c r="H62" s="18"/>
      <c r="I62" s="18"/>
    </row>
    <row r="63" spans="7:9" x14ac:dyDescent="0.2">
      <c r="G63" s="18"/>
      <c r="H63" s="18"/>
      <c r="I63" s="18"/>
    </row>
    <row r="64" spans="7:9" x14ac:dyDescent="0.2">
      <c r="G64" s="18"/>
      <c r="H64" s="18"/>
      <c r="I64" s="18"/>
    </row>
    <row r="65" spans="7:9" x14ac:dyDescent="0.2">
      <c r="G65" s="18"/>
      <c r="H65" s="18"/>
      <c r="I65" s="18"/>
    </row>
    <row r="66" spans="7:9" x14ac:dyDescent="0.2">
      <c r="G66" s="18"/>
      <c r="H66" s="18"/>
      <c r="I66" s="18"/>
    </row>
    <row r="67" spans="7:9" x14ac:dyDescent="0.2">
      <c r="G67" s="18"/>
      <c r="H67" s="18"/>
      <c r="I67" s="18"/>
    </row>
    <row r="68" spans="7:9" x14ac:dyDescent="0.2">
      <c r="G68" s="18"/>
      <c r="H68" s="18"/>
      <c r="I68" s="18"/>
    </row>
    <row r="69" spans="7:9" x14ac:dyDescent="0.2">
      <c r="G69" s="18"/>
      <c r="H69" s="18"/>
      <c r="I69" s="18"/>
    </row>
    <row r="70" spans="7:9" x14ac:dyDescent="0.2">
      <c r="G70" s="18"/>
      <c r="H70" s="18"/>
      <c r="I70" s="18"/>
    </row>
    <row r="71" spans="7:9" x14ac:dyDescent="0.2">
      <c r="G71" s="18"/>
      <c r="H71" s="18"/>
      <c r="I71" s="18"/>
    </row>
    <row r="72" spans="7:9" x14ac:dyDescent="0.2">
      <c r="G72" s="18"/>
      <c r="H72" s="18"/>
      <c r="I72" s="18"/>
    </row>
    <row r="73" spans="7:9" x14ac:dyDescent="0.2">
      <c r="G73" s="18"/>
      <c r="H73" s="18"/>
      <c r="I73" s="18"/>
    </row>
    <row r="74" spans="7:9" x14ac:dyDescent="0.2">
      <c r="G74" s="18"/>
      <c r="H74" s="18"/>
      <c r="I74" s="18"/>
    </row>
    <row r="75" spans="7:9" x14ac:dyDescent="0.2">
      <c r="G75" s="18"/>
      <c r="H75" s="18"/>
      <c r="I75" s="18"/>
    </row>
    <row r="76" spans="7:9" x14ac:dyDescent="0.2">
      <c r="G76" s="18"/>
      <c r="H76" s="18"/>
      <c r="I76" s="18"/>
    </row>
    <row r="77" spans="7:9" x14ac:dyDescent="0.2">
      <c r="G77" s="18"/>
      <c r="H77" s="18"/>
      <c r="I77" s="18"/>
    </row>
    <row r="78" spans="7:9" x14ac:dyDescent="0.2">
      <c r="G78" s="18"/>
      <c r="H78" s="18"/>
      <c r="I78" s="18"/>
    </row>
    <row r="79" spans="7:9" x14ac:dyDescent="0.2">
      <c r="G79" s="18"/>
      <c r="H79" s="18"/>
      <c r="I79" s="18"/>
    </row>
    <row r="80" spans="7:9" x14ac:dyDescent="0.2">
      <c r="G80" s="18"/>
      <c r="H80" s="18"/>
      <c r="I80" s="18"/>
    </row>
    <row r="81" spans="7:9" x14ac:dyDescent="0.2">
      <c r="G81" s="18"/>
      <c r="H81" s="18"/>
      <c r="I81" s="18"/>
    </row>
    <row r="82" spans="7:9" x14ac:dyDescent="0.2">
      <c r="G82" s="18"/>
      <c r="H82" s="18"/>
      <c r="I82" s="18"/>
    </row>
    <row r="83" spans="7:9" x14ac:dyDescent="0.2">
      <c r="G83" s="18"/>
      <c r="H83" s="18"/>
      <c r="I83" s="18"/>
    </row>
    <row r="84" spans="7:9" x14ac:dyDescent="0.2">
      <c r="G84" s="18"/>
      <c r="H84" s="18"/>
      <c r="I84" s="18"/>
    </row>
    <row r="85" spans="7:9" x14ac:dyDescent="0.2">
      <c r="G85" s="18"/>
      <c r="H85" s="18"/>
      <c r="I85" s="18"/>
    </row>
    <row r="86" spans="7:9" x14ac:dyDescent="0.2">
      <c r="G86" s="18"/>
      <c r="H86" s="18"/>
      <c r="I86" s="18"/>
    </row>
    <row r="87" spans="7:9" x14ac:dyDescent="0.2">
      <c r="G87" s="18"/>
      <c r="H87" s="18"/>
      <c r="I87" s="18"/>
    </row>
    <row r="88" spans="7:9" x14ac:dyDescent="0.2">
      <c r="G88" s="18"/>
      <c r="H88" s="18"/>
      <c r="I88" s="18"/>
    </row>
    <row r="89" spans="7:9" x14ac:dyDescent="0.2">
      <c r="G89" s="18"/>
      <c r="H89" s="18"/>
      <c r="I89" s="18"/>
    </row>
    <row r="90" spans="7:9" x14ac:dyDescent="0.2">
      <c r="G90" s="18"/>
      <c r="H90" s="18"/>
      <c r="I90" s="18"/>
    </row>
    <row r="91" spans="7:9" x14ac:dyDescent="0.2">
      <c r="G91" s="18"/>
      <c r="H91" s="18"/>
      <c r="I91" s="18"/>
    </row>
    <row r="92" spans="7:9" x14ac:dyDescent="0.2">
      <c r="G92" s="18"/>
      <c r="H92" s="18"/>
      <c r="I92" s="18"/>
    </row>
    <row r="93" spans="7:9" x14ac:dyDescent="0.2">
      <c r="G93" s="18"/>
      <c r="H93" s="18"/>
      <c r="I93" s="18"/>
    </row>
    <row r="94" spans="7:9" x14ac:dyDescent="0.2">
      <c r="G94" s="18"/>
      <c r="H94" s="18"/>
      <c r="I94" s="18"/>
    </row>
    <row r="95" spans="7:9" x14ac:dyDescent="0.2">
      <c r="G95" s="18"/>
      <c r="H95" s="18"/>
      <c r="I95" s="18"/>
    </row>
    <row r="96" spans="7:9" x14ac:dyDescent="0.2">
      <c r="G96" s="18"/>
      <c r="H96" s="18"/>
      <c r="I96" s="18"/>
    </row>
    <row r="97" spans="2:9" x14ac:dyDescent="0.2">
      <c r="G97" s="18"/>
      <c r="H97" s="18"/>
      <c r="I97" s="18"/>
    </row>
    <row r="98" spans="2:9" x14ac:dyDescent="0.2">
      <c r="G98" s="18"/>
      <c r="H98" s="18"/>
      <c r="I98" s="18"/>
    </row>
    <row r="99" spans="2:9" x14ac:dyDescent="0.2">
      <c r="G99" s="18"/>
      <c r="H99" s="18"/>
      <c r="I99" s="18"/>
    </row>
    <row r="100" spans="2:9" x14ac:dyDescent="0.2">
      <c r="G100" s="18"/>
      <c r="H100" s="18"/>
      <c r="I100" s="18"/>
    </row>
    <row r="101" spans="2:9" x14ac:dyDescent="0.2">
      <c r="G101" s="18"/>
      <c r="H101" s="18"/>
      <c r="I101" s="18"/>
    </row>
    <row r="102" spans="2:9" x14ac:dyDescent="0.2">
      <c r="G102" s="18"/>
      <c r="H102" s="18"/>
      <c r="I102" s="18"/>
    </row>
    <row r="103" spans="2:9" x14ac:dyDescent="0.2">
      <c r="G103" s="18"/>
      <c r="H103" s="18"/>
      <c r="I103" s="18"/>
    </row>
    <row r="104" spans="2:9" x14ac:dyDescent="0.2">
      <c r="B104"/>
      <c r="C104" s="27"/>
      <c r="D104" s="27"/>
      <c r="E104" s="27"/>
      <c r="F104" s="27"/>
      <c r="G104" s="27"/>
      <c r="H104" s="27"/>
      <c r="I104" s="27"/>
    </row>
    <row r="105" spans="2:9" x14ac:dyDescent="0.2">
      <c r="B105"/>
      <c r="C105" s="27"/>
      <c r="D105" s="27"/>
      <c r="E105" s="27"/>
      <c r="F105" s="27"/>
      <c r="G105" s="27"/>
      <c r="H105" s="27"/>
      <c r="I105" s="27"/>
    </row>
    <row r="106" spans="2:9" x14ac:dyDescent="0.2">
      <c r="B106"/>
      <c r="C106" s="27"/>
      <c r="D106" s="27"/>
      <c r="E106" s="27"/>
      <c r="F106" s="27"/>
      <c r="G106" s="27"/>
      <c r="H106" s="27"/>
      <c r="I106" s="27"/>
    </row>
    <row r="107" spans="2:9" x14ac:dyDescent="0.2">
      <c r="B107"/>
      <c r="C107" s="27"/>
      <c r="D107" s="27"/>
      <c r="E107" s="27"/>
      <c r="F107" s="27"/>
      <c r="G107" s="27"/>
      <c r="H107" s="27"/>
      <c r="I107" s="27"/>
    </row>
    <row r="108" spans="2:9" x14ac:dyDescent="0.2">
      <c r="B108"/>
      <c r="C108" s="27"/>
      <c r="D108" s="27"/>
      <c r="E108" s="27"/>
      <c r="F108" s="27"/>
      <c r="G108" s="27"/>
      <c r="H108" s="27"/>
      <c r="I108" s="27"/>
    </row>
    <row r="109" spans="2:9" x14ac:dyDescent="0.2">
      <c r="B109"/>
      <c r="C109" s="27"/>
      <c r="D109" s="27"/>
      <c r="E109" s="27"/>
      <c r="F109" s="27"/>
      <c r="G109" s="27"/>
      <c r="H109" s="27"/>
      <c r="I109" s="27"/>
    </row>
    <row r="110" spans="2:9" x14ac:dyDescent="0.2">
      <c r="B110"/>
      <c r="C110" s="27"/>
      <c r="D110" s="27"/>
      <c r="E110" s="27"/>
      <c r="F110" s="27"/>
      <c r="G110" s="27"/>
      <c r="H110" s="27"/>
      <c r="I110" s="27"/>
    </row>
    <row r="111" spans="2:9" x14ac:dyDescent="0.2">
      <c r="B111"/>
      <c r="C111" s="27"/>
      <c r="D111" s="27"/>
      <c r="E111" s="27"/>
      <c r="F111" s="27"/>
      <c r="G111" s="27"/>
      <c r="H111" s="27"/>
      <c r="I111" s="27"/>
    </row>
    <row r="112" spans="2:9" x14ac:dyDescent="0.2">
      <c r="B112"/>
      <c r="C112" s="27"/>
      <c r="D112" s="27"/>
      <c r="E112" s="27"/>
      <c r="F112" s="27"/>
      <c r="G112" s="27"/>
      <c r="H112" s="27"/>
      <c r="I112" s="27"/>
    </row>
    <row r="113" spans="2:9" x14ac:dyDescent="0.2">
      <c r="B113"/>
      <c r="C113" s="27"/>
      <c r="D113" s="27"/>
      <c r="E113" s="27"/>
      <c r="F113" s="27"/>
      <c r="G113" s="27"/>
      <c r="H113" s="27"/>
      <c r="I113" s="27"/>
    </row>
    <row r="114" spans="2:9" x14ac:dyDescent="0.2">
      <c r="B114"/>
      <c r="C114" s="27"/>
      <c r="D114" s="27"/>
      <c r="E114" s="27"/>
      <c r="F114" s="27"/>
      <c r="G114" s="27"/>
      <c r="H114" s="27"/>
      <c r="I114" s="27"/>
    </row>
    <row r="115" spans="2:9" x14ac:dyDescent="0.2">
      <c r="B115"/>
      <c r="C115" s="27"/>
      <c r="D115" s="27"/>
      <c r="E115" s="27"/>
      <c r="F115" s="27"/>
      <c r="G115" s="27"/>
      <c r="H115" s="27"/>
      <c r="I115" s="27"/>
    </row>
    <row r="116" spans="2:9" x14ac:dyDescent="0.2">
      <c r="B116"/>
      <c r="C116" s="27"/>
      <c r="D116" s="27"/>
      <c r="E116" s="27"/>
      <c r="F116" s="27"/>
      <c r="G116" s="27"/>
      <c r="H116" s="27"/>
      <c r="I116" s="27"/>
    </row>
    <row r="117" spans="2:9" x14ac:dyDescent="0.2">
      <c r="B117"/>
      <c r="C117" s="27"/>
      <c r="D117" s="27"/>
      <c r="E117" s="27"/>
      <c r="F117" s="27"/>
      <c r="G117" s="27"/>
      <c r="H117" s="27"/>
      <c r="I117" s="27"/>
    </row>
    <row r="118" spans="2:9" x14ac:dyDescent="0.2">
      <c r="B118"/>
      <c r="C118" s="27"/>
      <c r="D118" s="27"/>
      <c r="E118" s="27"/>
      <c r="F118" s="27"/>
      <c r="G118" s="27"/>
      <c r="H118" s="27"/>
      <c r="I118" s="27"/>
    </row>
    <row r="119" spans="2:9" x14ac:dyDescent="0.2">
      <c r="B119"/>
      <c r="C119" s="27"/>
      <c r="D119" s="27"/>
      <c r="E119" s="27"/>
      <c r="F119" s="27"/>
      <c r="G119" s="27"/>
      <c r="H119" s="27"/>
      <c r="I119" s="27"/>
    </row>
    <row r="120" spans="2:9" x14ac:dyDescent="0.2">
      <c r="B120"/>
      <c r="C120" s="27"/>
      <c r="D120" s="27"/>
      <c r="E120" s="27"/>
      <c r="F120" s="27"/>
      <c r="G120" s="27"/>
      <c r="H120" s="27"/>
      <c r="I120" s="27"/>
    </row>
    <row r="121" spans="2:9" x14ac:dyDescent="0.2">
      <c r="B121"/>
      <c r="C121" s="27"/>
      <c r="D121" s="27"/>
      <c r="E121" s="27"/>
      <c r="F121" s="27"/>
      <c r="G121" s="27"/>
      <c r="H121" s="27"/>
      <c r="I121" s="27"/>
    </row>
    <row r="122" spans="2:9" x14ac:dyDescent="0.2">
      <c r="B122"/>
      <c r="C122" s="27"/>
      <c r="D122" s="27"/>
      <c r="E122" s="27"/>
      <c r="F122" s="27"/>
      <c r="G122" s="27"/>
      <c r="H122" s="27"/>
      <c r="I122" s="27"/>
    </row>
    <row r="123" spans="2:9" x14ac:dyDescent="0.2">
      <c r="B123"/>
      <c r="C123" s="27"/>
      <c r="D123" s="27"/>
      <c r="E123" s="27"/>
      <c r="F123" s="27"/>
      <c r="G123" s="27"/>
      <c r="H123" s="27"/>
      <c r="I123" s="27"/>
    </row>
    <row r="124" spans="2:9" x14ac:dyDescent="0.2">
      <c r="B124"/>
      <c r="C124" s="27"/>
      <c r="D124" s="27"/>
      <c r="E124" s="27"/>
      <c r="F124" s="27"/>
      <c r="G124" s="27"/>
      <c r="H124" s="27"/>
      <c r="I124" s="27"/>
    </row>
    <row r="125" spans="2:9" x14ac:dyDescent="0.2">
      <c r="B125"/>
      <c r="C125" s="27"/>
      <c r="D125" s="27"/>
      <c r="E125" s="27"/>
      <c r="F125" s="27"/>
      <c r="G125" s="27"/>
      <c r="H125" s="27"/>
      <c r="I125" s="27"/>
    </row>
    <row r="126" spans="2:9" x14ac:dyDescent="0.2">
      <c r="B126"/>
      <c r="C126" s="27"/>
      <c r="D126" s="27"/>
      <c r="E126" s="27"/>
      <c r="F126" s="27"/>
      <c r="G126" s="27"/>
      <c r="H126" s="27"/>
      <c r="I126" s="27"/>
    </row>
    <row r="127" spans="2:9" x14ac:dyDescent="0.2">
      <c r="B127"/>
      <c r="C127" s="27"/>
      <c r="D127" s="27"/>
      <c r="E127" s="27"/>
      <c r="F127" s="27"/>
      <c r="G127" s="27"/>
      <c r="H127" s="27"/>
      <c r="I127" s="27"/>
    </row>
    <row r="128" spans="2:9" x14ac:dyDescent="0.2">
      <c r="B128"/>
      <c r="C128" s="27"/>
      <c r="D128" s="27"/>
      <c r="E128" s="27"/>
      <c r="F128" s="27"/>
      <c r="G128" s="27"/>
      <c r="H128" s="27"/>
      <c r="I128" s="27"/>
    </row>
    <row r="129" spans="2:9" x14ac:dyDescent="0.2">
      <c r="B129"/>
      <c r="C129" s="27"/>
      <c r="D129" s="27"/>
      <c r="E129" s="27"/>
      <c r="F129" s="27"/>
      <c r="G129" s="27"/>
      <c r="H129" s="27"/>
      <c r="I129" s="27"/>
    </row>
    <row r="130" spans="2:9" x14ac:dyDescent="0.2">
      <c r="B130"/>
      <c r="C130" s="27"/>
      <c r="D130" s="27"/>
      <c r="E130" s="27"/>
      <c r="F130" s="27"/>
      <c r="G130" s="27"/>
      <c r="H130" s="27"/>
      <c r="I130" s="27"/>
    </row>
    <row r="131" spans="2:9" x14ac:dyDescent="0.2">
      <c r="B131"/>
      <c r="C131" s="27"/>
      <c r="D131" s="27"/>
      <c r="E131" s="27"/>
      <c r="F131" s="27"/>
      <c r="G131" s="27"/>
      <c r="H131" s="27"/>
      <c r="I131" s="27"/>
    </row>
    <row r="132" spans="2:9" x14ac:dyDescent="0.2">
      <c r="B132"/>
      <c r="C132" s="27"/>
      <c r="D132" s="27"/>
      <c r="E132" s="27"/>
      <c r="F132" s="27"/>
      <c r="G132" s="27"/>
      <c r="H132" s="27"/>
      <c r="I132" s="27"/>
    </row>
    <row r="133" spans="2:9" x14ac:dyDescent="0.2">
      <c r="B133"/>
      <c r="C133" s="27"/>
      <c r="D133" s="27"/>
      <c r="E133" s="27"/>
      <c r="F133" s="27"/>
      <c r="G133" s="27"/>
      <c r="H133" s="27"/>
      <c r="I133" s="27"/>
    </row>
    <row r="134" spans="2:9" x14ac:dyDescent="0.2">
      <c r="B134"/>
      <c r="C134" s="27"/>
      <c r="D134" s="27"/>
      <c r="E134" s="27"/>
      <c r="F134" s="27"/>
      <c r="G134" s="27"/>
      <c r="H134" s="27"/>
      <c r="I134" s="27"/>
    </row>
    <row r="135" spans="2:9" x14ac:dyDescent="0.2">
      <c r="B135"/>
      <c r="C135" s="27"/>
      <c r="D135" s="27"/>
      <c r="E135" s="27"/>
      <c r="F135" s="27"/>
      <c r="G135" s="27"/>
      <c r="H135" s="27"/>
      <c r="I135" s="27"/>
    </row>
    <row r="136" spans="2:9" x14ac:dyDescent="0.2">
      <c r="B136"/>
      <c r="C136" s="27"/>
      <c r="D136" s="27"/>
      <c r="E136" s="27"/>
      <c r="F136" s="27"/>
      <c r="G136" s="27"/>
      <c r="H136" s="27"/>
      <c r="I136" s="27"/>
    </row>
    <row r="137" spans="2:9" x14ac:dyDescent="0.2">
      <c r="B137"/>
      <c r="C137" s="27"/>
      <c r="D137" s="27"/>
      <c r="E137" s="27"/>
      <c r="F137" s="27"/>
      <c r="G137" s="27"/>
      <c r="H137" s="27"/>
      <c r="I137" s="27"/>
    </row>
    <row r="138" spans="2:9" x14ac:dyDescent="0.2">
      <c r="B138"/>
      <c r="C138" s="27"/>
      <c r="D138" s="27"/>
      <c r="E138" s="27"/>
      <c r="F138" s="27"/>
      <c r="G138" s="27"/>
      <c r="H138" s="27"/>
      <c r="I138" s="27"/>
    </row>
    <row r="139" spans="2:9" x14ac:dyDescent="0.2">
      <c r="B139"/>
      <c r="C139" s="27"/>
      <c r="D139" s="27"/>
      <c r="E139" s="27"/>
      <c r="F139" s="27"/>
      <c r="G139" s="27"/>
      <c r="H139" s="27"/>
      <c r="I139" s="27"/>
    </row>
    <row r="140" spans="2:9" x14ac:dyDescent="0.2">
      <c r="B140"/>
      <c r="C140" s="27"/>
      <c r="D140" s="27"/>
      <c r="E140" s="27"/>
      <c r="F140" s="27"/>
      <c r="G140" s="27"/>
      <c r="H140" s="27"/>
      <c r="I140" s="27"/>
    </row>
    <row r="141" spans="2:9" x14ac:dyDescent="0.2">
      <c r="B141"/>
      <c r="C141" s="27"/>
      <c r="D141" s="27"/>
      <c r="E141" s="27"/>
      <c r="F141" s="27"/>
      <c r="G141" s="27"/>
      <c r="H141" s="27"/>
      <c r="I141" s="27"/>
    </row>
    <row r="142" spans="2:9" x14ac:dyDescent="0.2">
      <c r="B142"/>
      <c r="C142" s="27"/>
      <c r="D142" s="27"/>
      <c r="E142" s="27"/>
      <c r="F142" s="27"/>
      <c r="G142" s="27"/>
      <c r="H142" s="27"/>
      <c r="I142" s="27"/>
    </row>
    <row r="143" spans="2:9" x14ac:dyDescent="0.2">
      <c r="B143"/>
      <c r="C143" s="27"/>
      <c r="D143" s="27"/>
      <c r="E143" s="27"/>
      <c r="F143" s="27"/>
      <c r="G143" s="27"/>
      <c r="H143" s="27"/>
      <c r="I143" s="27"/>
    </row>
    <row r="144" spans="2:9" x14ac:dyDescent="0.2">
      <c r="B144"/>
      <c r="C144" s="27"/>
      <c r="D144" s="27"/>
      <c r="E144" s="27"/>
      <c r="F144" s="27"/>
      <c r="G144" s="27"/>
      <c r="H144" s="27"/>
      <c r="I144" s="27"/>
    </row>
    <row r="145" spans="2:9" x14ac:dyDescent="0.2">
      <c r="B145"/>
      <c r="C145" s="27"/>
      <c r="D145" s="27"/>
      <c r="E145" s="27"/>
      <c r="F145" s="27"/>
      <c r="G145" s="27"/>
      <c r="H145" s="27"/>
      <c r="I145" s="27"/>
    </row>
    <row r="146" spans="2:9" x14ac:dyDescent="0.2">
      <c r="B146"/>
      <c r="C146" s="27"/>
      <c r="D146" s="27"/>
      <c r="E146" s="27"/>
      <c r="F146" s="27"/>
      <c r="G146" s="27"/>
      <c r="H146" s="27"/>
      <c r="I146" s="27"/>
    </row>
    <row r="147" spans="2:9" x14ac:dyDescent="0.2">
      <c r="B147"/>
      <c r="C147" s="27"/>
      <c r="D147" s="27"/>
      <c r="E147" s="27"/>
      <c r="F147" s="27"/>
      <c r="G147" s="27"/>
      <c r="H147" s="27"/>
      <c r="I147" s="27"/>
    </row>
    <row r="148" spans="2:9" x14ac:dyDescent="0.2">
      <c r="B148"/>
      <c r="C148" s="27"/>
      <c r="D148" s="27"/>
      <c r="E148" s="27"/>
      <c r="F148" s="27"/>
      <c r="G148" s="27"/>
      <c r="H148" s="27"/>
      <c r="I148" s="27"/>
    </row>
    <row r="149" spans="2:9" x14ac:dyDescent="0.2">
      <c r="B149"/>
      <c r="C149" s="27"/>
      <c r="D149" s="27"/>
      <c r="E149" s="27"/>
      <c r="F149" s="27"/>
      <c r="G149" s="27"/>
      <c r="H149" s="27"/>
      <c r="I149" s="27"/>
    </row>
    <row r="150" spans="2:9" x14ac:dyDescent="0.2">
      <c r="B150"/>
      <c r="C150" s="27"/>
      <c r="D150" s="27"/>
      <c r="E150" s="27"/>
      <c r="F150" s="27"/>
      <c r="G150" s="27"/>
      <c r="H150" s="27"/>
      <c r="I150" s="27"/>
    </row>
    <row r="151" spans="2:9" x14ac:dyDescent="0.2">
      <c r="B151"/>
      <c r="C151" s="27"/>
      <c r="D151" s="27"/>
      <c r="E151" s="27"/>
      <c r="F151" s="27"/>
      <c r="G151" s="27"/>
      <c r="H151" s="27"/>
      <c r="I151" s="27"/>
    </row>
    <row r="152" spans="2:9" x14ac:dyDescent="0.2">
      <c r="B152"/>
      <c r="C152" s="27"/>
      <c r="D152" s="27"/>
      <c r="E152" s="27"/>
      <c r="F152" s="27"/>
      <c r="G152" s="27"/>
      <c r="H152" s="27"/>
      <c r="I152" s="27"/>
    </row>
    <row r="153" spans="2:9" x14ac:dyDescent="0.2">
      <c r="B153"/>
      <c r="C153" s="27"/>
      <c r="D153" s="27"/>
      <c r="E153" s="27"/>
      <c r="F153" s="27"/>
      <c r="G153" s="27"/>
      <c r="H153" s="27"/>
      <c r="I153" s="27"/>
    </row>
    <row r="154" spans="2:9" x14ac:dyDescent="0.2">
      <c r="B154"/>
      <c r="C154" s="27"/>
      <c r="D154" s="27"/>
      <c r="E154" s="27"/>
      <c r="F154" s="27"/>
      <c r="G154" s="27"/>
      <c r="H154" s="27"/>
      <c r="I154" s="27"/>
    </row>
    <row r="155" spans="2:9" x14ac:dyDescent="0.2">
      <c r="B155"/>
      <c r="C155" s="27"/>
      <c r="D155" s="27"/>
      <c r="E155" s="27"/>
      <c r="F155" s="27"/>
      <c r="G155" s="27"/>
      <c r="H155" s="27"/>
      <c r="I155" s="27"/>
    </row>
    <row r="156" spans="2:9" x14ac:dyDescent="0.2">
      <c r="B156"/>
      <c r="C156" s="27"/>
      <c r="D156" s="27"/>
      <c r="E156" s="27"/>
      <c r="F156" s="27"/>
      <c r="G156" s="27"/>
      <c r="H156" s="27"/>
      <c r="I156" s="27"/>
    </row>
    <row r="157" spans="2:9" x14ac:dyDescent="0.2">
      <c r="B157"/>
      <c r="C157" s="27"/>
      <c r="D157" s="27"/>
      <c r="E157" s="27"/>
      <c r="F157" s="27"/>
      <c r="G157" s="27"/>
      <c r="H157" s="27"/>
      <c r="I157" s="27"/>
    </row>
    <row r="158" spans="2:9" x14ac:dyDescent="0.2">
      <c r="B158"/>
      <c r="C158" s="27"/>
      <c r="D158" s="27"/>
      <c r="E158" s="27"/>
      <c r="F158" s="27"/>
      <c r="G158" s="27"/>
      <c r="H158" s="27"/>
      <c r="I158" s="27"/>
    </row>
    <row r="159" spans="2:9" x14ac:dyDescent="0.2">
      <c r="B159"/>
      <c r="C159" s="27"/>
      <c r="D159" s="27"/>
      <c r="E159" s="27"/>
      <c r="F159" s="27"/>
      <c r="G159" s="27"/>
      <c r="H159" s="27"/>
      <c r="I159" s="27"/>
    </row>
    <row r="160" spans="2:9" x14ac:dyDescent="0.2">
      <c r="B160"/>
      <c r="C160" s="27"/>
      <c r="D160" s="27"/>
      <c r="E160" s="27"/>
      <c r="F160" s="27"/>
      <c r="G160" s="27"/>
      <c r="H160" s="27"/>
      <c r="I160" s="27"/>
    </row>
    <row r="161" spans="2:9" x14ac:dyDescent="0.2">
      <c r="B161"/>
      <c r="C161" s="27"/>
      <c r="D161" s="27"/>
      <c r="E161" s="27"/>
      <c r="F161" s="27"/>
      <c r="G161" s="27"/>
      <c r="H161" s="27"/>
      <c r="I161" s="27"/>
    </row>
    <row r="162" spans="2:9" x14ac:dyDescent="0.2">
      <c r="B162"/>
      <c r="C162" s="27"/>
      <c r="D162" s="27"/>
      <c r="E162" s="27"/>
      <c r="F162" s="27"/>
      <c r="G162" s="27"/>
      <c r="H162" s="27"/>
      <c r="I162" s="27"/>
    </row>
    <row r="163" spans="2:9" x14ac:dyDescent="0.2">
      <c r="B163"/>
      <c r="C163" s="27"/>
      <c r="D163" s="27"/>
      <c r="E163" s="27"/>
      <c r="F163" s="27"/>
      <c r="G163" s="27"/>
      <c r="H163" s="27"/>
      <c r="I163" s="27"/>
    </row>
    <row r="164" spans="2:9" x14ac:dyDescent="0.2">
      <c r="B164"/>
      <c r="C164" s="27"/>
      <c r="D164" s="27"/>
      <c r="E164" s="27"/>
      <c r="F164" s="27"/>
      <c r="G164" s="27"/>
      <c r="H164" s="27"/>
      <c r="I164" s="27"/>
    </row>
    <row r="165" spans="2:9" x14ac:dyDescent="0.2">
      <c r="B165"/>
      <c r="C165" s="27"/>
      <c r="D165" s="27"/>
      <c r="E165" s="27"/>
      <c r="F165" s="27"/>
      <c r="G165" s="27"/>
      <c r="H165" s="27"/>
      <c r="I165" s="27"/>
    </row>
    <row r="166" spans="2:9" x14ac:dyDescent="0.2">
      <c r="B166"/>
      <c r="C166" s="27"/>
      <c r="D166" s="27"/>
      <c r="E166" s="27"/>
      <c r="F166" s="27"/>
      <c r="G166" s="27"/>
      <c r="H166" s="27"/>
      <c r="I166" s="27"/>
    </row>
    <row r="167" spans="2:9" x14ac:dyDescent="0.2">
      <c r="B167"/>
      <c r="C167" s="27"/>
      <c r="D167" s="27"/>
      <c r="E167" s="27"/>
      <c r="F167" s="27"/>
      <c r="G167" s="27"/>
      <c r="H167" s="27"/>
      <c r="I167" s="27"/>
    </row>
    <row r="168" spans="2:9" x14ac:dyDescent="0.2">
      <c r="B168"/>
      <c r="C168" s="27"/>
      <c r="D168" s="27"/>
      <c r="E168" s="27"/>
      <c r="F168" s="27"/>
      <c r="G168" s="27"/>
      <c r="H168" s="27"/>
      <c r="I168" s="27"/>
    </row>
    <row r="169" spans="2:9" x14ac:dyDescent="0.2">
      <c r="B169"/>
      <c r="C169" s="27"/>
      <c r="D169" s="27"/>
      <c r="E169" s="27"/>
      <c r="F169" s="27"/>
      <c r="G169" s="27"/>
      <c r="H169" s="27"/>
      <c r="I169" s="27"/>
    </row>
    <row r="170" spans="2:9" x14ac:dyDescent="0.2">
      <c r="B170"/>
      <c r="C170" s="27"/>
      <c r="D170" s="27"/>
      <c r="E170" s="27"/>
      <c r="F170" s="27"/>
      <c r="G170" s="27"/>
      <c r="H170" s="27"/>
      <c r="I170" s="27"/>
    </row>
    <row r="171" spans="2:9" x14ac:dyDescent="0.2">
      <c r="B171"/>
      <c r="C171" s="27"/>
      <c r="D171" s="27"/>
      <c r="E171" s="27"/>
      <c r="F171" s="27"/>
      <c r="G171" s="27"/>
      <c r="H171" s="27"/>
      <c r="I171" s="27"/>
    </row>
  </sheetData>
  <mergeCells count="1">
    <mergeCell ref="A1:K1"/>
  </mergeCells>
  <phoneticPr fontId="17" type="noConversion"/>
  <pageMargins left="0" right="0" top="0" bottom="0" header="0" footer="0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workbookViewId="0">
      <selection activeCell="B28" sqref="B28"/>
    </sheetView>
  </sheetViews>
  <sheetFormatPr defaultColWidth="10" defaultRowHeight="12.75" x14ac:dyDescent="0.2"/>
  <cols>
    <col min="1" max="1" width="6" style="30" customWidth="1"/>
    <col min="2" max="2" width="32.28515625" style="30" customWidth="1"/>
    <col min="3" max="3" width="16.140625" style="33" customWidth="1"/>
    <col min="4" max="4" width="2.28515625" style="33" customWidth="1"/>
    <col min="5" max="5" width="16.140625" style="33" customWidth="1"/>
    <col min="6" max="6" width="2.28515625" style="33" customWidth="1"/>
    <col min="7" max="7" width="13.7109375" style="33" customWidth="1"/>
    <col min="8" max="8" width="2.28515625" style="33" customWidth="1"/>
    <col min="9" max="9" width="14.140625" style="68" customWidth="1"/>
    <col min="10" max="10" width="2.28515625" customWidth="1"/>
    <col min="11" max="11" width="15" style="233" customWidth="1"/>
    <col min="12" max="12" width="15" style="30" customWidth="1"/>
    <col min="13" max="16384" width="10" style="30"/>
  </cols>
  <sheetData>
    <row r="1" spans="1:11" x14ac:dyDescent="0.2">
      <c r="A1" s="326" t="s">
        <v>255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1" x14ac:dyDescent="0.2">
      <c r="A2" s="60"/>
      <c r="B2" s="60"/>
      <c r="C2" s="60"/>
      <c r="D2" s="164"/>
      <c r="E2" s="164"/>
      <c r="F2" s="164"/>
      <c r="G2" s="60"/>
      <c r="H2" s="164"/>
      <c r="I2" s="99"/>
    </row>
    <row r="3" spans="1:11" x14ac:dyDescent="0.2">
      <c r="C3" s="42" t="str">
        <f>cover!C6</f>
        <v>APPROVED</v>
      </c>
      <c r="D3" s="42"/>
      <c r="E3" s="42" t="str">
        <f>cover!E6</f>
        <v xml:space="preserve"> </v>
      </c>
      <c r="F3" s="42"/>
      <c r="G3" s="42" t="str">
        <f>cover!G6</f>
        <v>APPROVED</v>
      </c>
      <c r="H3" s="42"/>
      <c r="I3" s="99" t="str">
        <f>cover!I6</f>
        <v>REQUESTED</v>
      </c>
      <c r="J3" s="37"/>
      <c r="K3" s="240" t="str">
        <f>cover!K6</f>
        <v>PERCENT</v>
      </c>
    </row>
    <row r="4" spans="1:11" x14ac:dyDescent="0.2">
      <c r="B4" s="29"/>
      <c r="C4" s="42" t="str">
        <f>cover!C7</f>
        <v>BUDGET</v>
      </c>
      <c r="D4" s="42"/>
      <c r="E4" s="42" t="str">
        <f>cover!E7</f>
        <v>ACTUAL</v>
      </c>
      <c r="F4" s="42"/>
      <c r="G4" s="42" t="str">
        <f>cover!G7</f>
        <v>BUDGET</v>
      </c>
      <c r="H4" s="42"/>
      <c r="I4" s="99" t="str">
        <f>cover!I7</f>
        <v>BUDGET</v>
      </c>
      <c r="J4" s="37"/>
      <c r="K4" s="240" t="str">
        <f>cover!K7</f>
        <v>CHANGE</v>
      </c>
    </row>
    <row r="5" spans="1:11" x14ac:dyDescent="0.2">
      <c r="A5" s="158"/>
      <c r="B5" s="158"/>
      <c r="C5" s="292" t="str">
        <f>cover!C8</f>
        <v>2010-11</v>
      </c>
      <c r="D5" s="292"/>
      <c r="E5" s="292" t="str">
        <f>cover!E8</f>
        <v>2010-11</v>
      </c>
      <c r="F5" s="292"/>
      <c r="G5" s="292" t="str">
        <f>cover!G8</f>
        <v>2011 -12</v>
      </c>
      <c r="H5" s="292"/>
      <c r="I5" s="295" t="str">
        <f>cover!I8</f>
        <v>2012 -13</v>
      </c>
      <c r="J5" s="293"/>
      <c r="K5" s="296" t="str">
        <f>cover!K8</f>
        <v>FY12/FY13</v>
      </c>
    </row>
    <row r="6" spans="1:11" x14ac:dyDescent="0.2">
      <c r="A6" s="30" t="s">
        <v>101</v>
      </c>
      <c r="J6" s="100"/>
      <c r="K6" s="253"/>
    </row>
    <row r="7" spans="1:11" x14ac:dyDescent="0.2">
      <c r="B7" s="2" t="s">
        <v>246</v>
      </c>
      <c r="C7" s="68">
        <v>113386</v>
      </c>
      <c r="E7" s="33">
        <v>113386</v>
      </c>
      <c r="G7" s="68">
        <v>113386</v>
      </c>
      <c r="H7" s="68"/>
      <c r="I7" s="68">
        <v>114633</v>
      </c>
      <c r="J7" s="100"/>
      <c r="K7" s="270">
        <f>+(I7-G7)/G7</f>
        <v>1.0997830419981303E-2</v>
      </c>
    </row>
    <row r="8" spans="1:11" x14ac:dyDescent="0.2">
      <c r="B8" s="2" t="s">
        <v>245</v>
      </c>
      <c r="C8" s="67">
        <v>0</v>
      </c>
      <c r="E8" s="34">
        <v>1890</v>
      </c>
      <c r="G8" s="67">
        <v>0</v>
      </c>
      <c r="H8" s="68"/>
      <c r="I8" s="68">
        <v>0</v>
      </c>
      <c r="J8" s="100"/>
      <c r="K8" s="270">
        <v>0</v>
      </c>
    </row>
    <row r="9" spans="1:11" x14ac:dyDescent="0.2">
      <c r="B9" s="12" t="s">
        <v>276</v>
      </c>
      <c r="C9" s="70">
        <f>SUM(C7:C8)</f>
        <v>113386</v>
      </c>
      <c r="D9" s="82"/>
      <c r="E9" s="83">
        <f>SUM(E7:E8)</f>
        <v>115276</v>
      </c>
      <c r="F9" s="82"/>
      <c r="G9" s="70">
        <f>SUM(G6:G8)</f>
        <v>113386</v>
      </c>
      <c r="H9" s="68"/>
      <c r="I9" s="70">
        <f>SUM(I6:I8)</f>
        <v>114633</v>
      </c>
      <c r="J9" s="100"/>
      <c r="K9" s="272">
        <f>+(I9-G9)/G9</f>
        <v>1.0997830419981303E-2</v>
      </c>
    </row>
    <row r="10" spans="1:11" x14ac:dyDescent="0.2">
      <c r="C10" s="68"/>
      <c r="D10" s="82"/>
      <c r="E10" s="82"/>
      <c r="F10" s="82"/>
      <c r="G10" s="68"/>
      <c r="H10" s="68"/>
      <c r="J10" s="100"/>
      <c r="K10" s="253"/>
    </row>
    <row r="11" spans="1:11" x14ac:dyDescent="0.2">
      <c r="A11" s="30" t="s">
        <v>37</v>
      </c>
      <c r="C11" s="82"/>
      <c r="D11" s="82"/>
      <c r="E11" s="82"/>
      <c r="F11" s="82"/>
      <c r="G11" s="68"/>
      <c r="H11" s="68"/>
      <c r="J11" s="100"/>
      <c r="K11" s="253"/>
    </row>
    <row r="12" spans="1:11" x14ac:dyDescent="0.2">
      <c r="C12" s="82"/>
      <c r="D12" s="82"/>
      <c r="E12" s="82"/>
      <c r="F12" s="82"/>
      <c r="G12" s="68"/>
      <c r="H12" s="68"/>
      <c r="J12" s="100"/>
      <c r="K12" s="253"/>
    </row>
    <row r="13" spans="1:11" x14ac:dyDescent="0.2">
      <c r="B13" s="2" t="s">
        <v>247</v>
      </c>
      <c r="C13" s="71">
        <v>0</v>
      </c>
      <c r="D13" s="115"/>
      <c r="E13" s="115">
        <v>360</v>
      </c>
      <c r="F13" s="115"/>
      <c r="G13" s="71">
        <v>0</v>
      </c>
      <c r="H13" s="71"/>
      <c r="I13" s="71">
        <v>360</v>
      </c>
      <c r="J13" s="100"/>
      <c r="K13" s="270">
        <v>1</v>
      </c>
    </row>
    <row r="14" spans="1:11" x14ac:dyDescent="0.2">
      <c r="B14" s="2" t="s">
        <v>176</v>
      </c>
      <c r="C14" s="71">
        <v>259935</v>
      </c>
      <c r="D14" s="115"/>
      <c r="E14" s="115">
        <v>240089.07</v>
      </c>
      <c r="F14" s="115"/>
      <c r="G14" s="71">
        <v>258935</v>
      </c>
      <c r="H14" s="71"/>
      <c r="I14" s="71">
        <v>270078</v>
      </c>
      <c r="J14" s="100"/>
      <c r="K14" s="270">
        <f>+(I14-G14)/G14</f>
        <v>4.3033966053256607E-2</v>
      </c>
    </row>
    <row r="15" spans="1:11" x14ac:dyDescent="0.2">
      <c r="B15" s="2" t="s">
        <v>248</v>
      </c>
      <c r="C15" s="80">
        <v>75038</v>
      </c>
      <c r="D15" s="115"/>
      <c r="E15" s="116">
        <v>85865.95</v>
      </c>
      <c r="F15" s="115"/>
      <c r="G15" s="80">
        <v>80948</v>
      </c>
      <c r="H15" s="71"/>
      <c r="I15" s="71">
        <f>+E15+(E15*0.03)</f>
        <v>88441.928499999995</v>
      </c>
      <c r="J15" s="100"/>
      <c r="K15" s="270">
        <f>+(I15-G15)/G15</f>
        <v>9.2577067994267861E-2</v>
      </c>
    </row>
    <row r="16" spans="1:11" x14ac:dyDescent="0.2">
      <c r="B16" s="31" t="s">
        <v>23</v>
      </c>
      <c r="C16" s="70">
        <f>SUM(C13:C15)</f>
        <v>334973</v>
      </c>
      <c r="D16" s="82"/>
      <c r="E16" s="83">
        <f>SUM(E13:E15)</f>
        <v>326315.02</v>
      </c>
      <c r="F16" s="82"/>
      <c r="G16" s="70">
        <f>SUM(G13:G15)</f>
        <v>339883</v>
      </c>
      <c r="H16" s="68"/>
      <c r="I16" s="70">
        <f>SUM(I13:I15)</f>
        <v>358879.92849999998</v>
      </c>
      <c r="J16" s="100"/>
      <c r="K16" s="272">
        <f>+(I16-G16)/G16</f>
        <v>5.5892552731381037E-2</v>
      </c>
    </row>
    <row r="17" spans="1:11" x14ac:dyDescent="0.2">
      <c r="C17" s="82"/>
      <c r="D17" s="82"/>
      <c r="E17" s="82"/>
      <c r="F17" s="82"/>
      <c r="G17" s="68"/>
      <c r="H17" s="68"/>
      <c r="J17" s="100"/>
      <c r="K17" s="253"/>
    </row>
    <row r="18" spans="1:11" x14ac:dyDescent="0.2">
      <c r="A18" s="30" t="s">
        <v>24</v>
      </c>
      <c r="B18" s="2" t="s">
        <v>175</v>
      </c>
      <c r="C18" s="68">
        <f>219268+2252</f>
        <v>221520</v>
      </c>
      <c r="E18" s="33">
        <v>195562.39</v>
      </c>
      <c r="G18" s="68">
        <f>229117+(80000*0.03)</f>
        <v>231517</v>
      </c>
      <c r="H18" s="68"/>
      <c r="I18" s="68">
        <f>147840+77242.31+(I15*0.03)</f>
        <v>227735.567855</v>
      </c>
      <c r="J18" s="100"/>
      <c r="K18" s="270">
        <f>+(I18-G18)/G18</f>
        <v>-1.6333280687811258E-2</v>
      </c>
    </row>
    <row r="19" spans="1:11" x14ac:dyDescent="0.2">
      <c r="B19" s="281" t="s">
        <v>38</v>
      </c>
      <c r="C19" s="282">
        <f>SUM(C18:C18)</f>
        <v>221520</v>
      </c>
      <c r="D19" s="120"/>
      <c r="E19" s="282">
        <f>SUM(E18:E18)</f>
        <v>195562.39</v>
      </c>
      <c r="F19" s="120"/>
      <c r="G19" s="166">
        <f>SUM(G18:G18)</f>
        <v>231517</v>
      </c>
      <c r="H19" s="71"/>
      <c r="I19" s="166">
        <f>SUM(I18:I18)</f>
        <v>227735.567855</v>
      </c>
      <c r="J19" s="100"/>
      <c r="K19" s="272">
        <f>+(I19-G19)/G19</f>
        <v>-1.6333280687811258E-2</v>
      </c>
    </row>
    <row r="20" spans="1:11" x14ac:dyDescent="0.2">
      <c r="C20" s="82"/>
      <c r="D20" s="82"/>
      <c r="E20" s="82"/>
      <c r="F20" s="82"/>
      <c r="G20" s="68"/>
      <c r="H20" s="68"/>
      <c r="J20" s="100"/>
      <c r="K20" s="253"/>
    </row>
    <row r="21" spans="1:11" x14ac:dyDescent="0.2">
      <c r="A21" s="30" t="s">
        <v>27</v>
      </c>
      <c r="C21" s="82"/>
      <c r="D21" s="82"/>
      <c r="E21" s="82"/>
      <c r="F21" s="82"/>
      <c r="G21" s="68"/>
      <c r="H21" s="68"/>
      <c r="J21" s="100"/>
      <c r="K21" s="253"/>
    </row>
    <row r="22" spans="1:11" x14ac:dyDescent="0.2">
      <c r="B22" s="13" t="s">
        <v>249</v>
      </c>
      <c r="C22" s="71">
        <v>44238</v>
      </c>
      <c r="D22" s="115"/>
      <c r="E22" s="115">
        <v>53392.79</v>
      </c>
      <c r="F22" s="115"/>
      <c r="G22" s="71">
        <v>44238</v>
      </c>
      <c r="H22" s="71"/>
      <c r="I22" s="71">
        <v>54000</v>
      </c>
      <c r="J22" s="100"/>
      <c r="K22" s="270">
        <f t="shared" ref="K22:K28" si="0">+(I22-G22)/G22</f>
        <v>0.22067001220670013</v>
      </c>
    </row>
    <row r="23" spans="1:11" x14ac:dyDescent="0.2">
      <c r="B23" s="13" t="s">
        <v>178</v>
      </c>
      <c r="C23" s="71">
        <v>2789</v>
      </c>
      <c r="D23" s="115"/>
      <c r="E23" s="115">
        <v>222.73</v>
      </c>
      <c r="F23" s="115"/>
      <c r="G23" s="71">
        <v>2789</v>
      </c>
      <c r="H23" s="71"/>
      <c r="I23" s="71">
        <v>250</v>
      </c>
      <c r="J23" s="100"/>
      <c r="K23" s="270">
        <f t="shared" si="0"/>
        <v>-0.91036213696665469</v>
      </c>
    </row>
    <row r="24" spans="1:11" x14ac:dyDescent="0.2">
      <c r="B24" s="13" t="s">
        <v>230</v>
      </c>
      <c r="C24" s="71">
        <v>552</v>
      </c>
      <c r="D24" s="115"/>
      <c r="E24" s="115">
        <v>298.23</v>
      </c>
      <c r="F24" s="115"/>
      <c r="G24" s="71">
        <v>552</v>
      </c>
      <c r="H24" s="71"/>
      <c r="I24" s="71">
        <v>299</v>
      </c>
      <c r="J24" s="100"/>
      <c r="K24" s="270">
        <f t="shared" si="0"/>
        <v>-0.45833333333333331</v>
      </c>
    </row>
    <row r="25" spans="1:11" x14ac:dyDescent="0.2">
      <c r="B25" s="13" t="s">
        <v>250</v>
      </c>
      <c r="C25" s="71">
        <v>4056</v>
      </c>
      <c r="D25" s="115"/>
      <c r="E25" s="115">
        <v>1905.94</v>
      </c>
      <c r="F25" s="115"/>
      <c r="G25" s="71">
        <v>4056</v>
      </c>
      <c r="H25" s="71"/>
      <c r="I25" s="71">
        <v>2500</v>
      </c>
      <c r="J25" s="100"/>
      <c r="K25" s="270">
        <f t="shared" si="0"/>
        <v>-0.38362919132149903</v>
      </c>
    </row>
    <row r="26" spans="1:11" x14ac:dyDescent="0.2">
      <c r="B26" s="13" t="s">
        <v>251</v>
      </c>
      <c r="C26" s="71">
        <v>5573</v>
      </c>
      <c r="D26" s="115"/>
      <c r="E26" s="115">
        <v>3218.99</v>
      </c>
      <c r="F26" s="115"/>
      <c r="G26" s="71">
        <f>6918</f>
        <v>6918</v>
      </c>
      <c r="H26" s="71"/>
      <c r="I26" s="71">
        <v>6918</v>
      </c>
      <c r="J26" s="100"/>
      <c r="K26" s="270">
        <f t="shared" si="0"/>
        <v>0</v>
      </c>
    </row>
    <row r="27" spans="1:11" x14ac:dyDescent="0.2">
      <c r="B27" s="13" t="s">
        <v>252</v>
      </c>
      <c r="C27" s="71">
        <v>4438</v>
      </c>
      <c r="D27" s="115"/>
      <c r="E27" s="115">
        <v>2703.75</v>
      </c>
      <c r="F27" s="115"/>
      <c r="G27" s="71">
        <v>4438</v>
      </c>
      <c r="H27" s="71"/>
      <c r="I27" s="71">
        <v>4438</v>
      </c>
      <c r="J27" s="100"/>
      <c r="K27" s="270">
        <f t="shared" si="0"/>
        <v>0</v>
      </c>
    </row>
    <row r="28" spans="1:11" x14ac:dyDescent="0.2">
      <c r="B28" s="2" t="s">
        <v>253</v>
      </c>
      <c r="C28" s="71">
        <v>8721</v>
      </c>
      <c r="D28" s="115"/>
      <c r="E28" s="115">
        <v>1130.3</v>
      </c>
      <c r="F28" s="115"/>
      <c r="G28" s="71">
        <v>8721</v>
      </c>
      <c r="H28" s="71"/>
      <c r="I28" s="71">
        <v>5500</v>
      </c>
      <c r="J28" s="283"/>
      <c r="K28" s="270">
        <f t="shared" si="0"/>
        <v>-0.36933837862630431</v>
      </c>
    </row>
    <row r="29" spans="1:11" hidden="1" x14ac:dyDescent="0.2">
      <c r="B29" s="30" t="s">
        <v>44</v>
      </c>
      <c r="C29" s="82"/>
      <c r="D29" s="82"/>
      <c r="E29" s="82"/>
      <c r="F29" s="82"/>
      <c r="G29" s="71"/>
      <c r="H29" s="71"/>
      <c r="I29" s="71"/>
      <c r="J29" s="100"/>
      <c r="K29" s="270"/>
    </row>
    <row r="30" spans="1:11" x14ac:dyDescent="0.2">
      <c r="B30" s="12" t="s">
        <v>76</v>
      </c>
      <c r="C30" s="70">
        <f>SUM(C22:C29)</f>
        <v>70367</v>
      </c>
      <c r="D30" s="82"/>
      <c r="E30" s="83">
        <f>SUM(E22:E29)</f>
        <v>62872.73000000001</v>
      </c>
      <c r="F30" s="82"/>
      <c r="G30" s="70">
        <f>SUM(G22:G29)</f>
        <v>71712</v>
      </c>
      <c r="H30" s="68"/>
      <c r="I30" s="70">
        <f>SUM(I22:I29)</f>
        <v>73905</v>
      </c>
      <c r="J30" s="100"/>
      <c r="K30" s="272">
        <f>+(I30-G30)/G30</f>
        <v>3.058065595716198E-2</v>
      </c>
    </row>
    <row r="31" spans="1:11" x14ac:dyDescent="0.2">
      <c r="C31" s="82"/>
      <c r="D31" s="82"/>
      <c r="E31" s="82"/>
      <c r="F31" s="82"/>
      <c r="G31" s="68"/>
      <c r="H31" s="68"/>
      <c r="J31" s="100"/>
      <c r="K31" s="270"/>
    </row>
    <row r="32" spans="1:11" x14ac:dyDescent="0.2">
      <c r="B32" s="30" t="s">
        <v>33</v>
      </c>
      <c r="C32" s="67">
        <f>SUM(C16+C19+C30)</f>
        <v>626860</v>
      </c>
      <c r="E32" s="81">
        <f>SUM(E16+E19+E30)</f>
        <v>584750.14</v>
      </c>
      <c r="G32" s="67">
        <f>SUM(G16+G19+G30)</f>
        <v>643112</v>
      </c>
      <c r="H32" s="68"/>
      <c r="I32" s="67">
        <f>SUM(I16+I18+I30)</f>
        <v>660520.49635499995</v>
      </c>
      <c r="J32" s="100"/>
      <c r="K32" s="274">
        <f t="shared" ref="K32" si="1">+(I32-G32)/G32</f>
        <v>2.7069151804040278E-2</v>
      </c>
    </row>
    <row r="33" spans="2:12" x14ac:dyDescent="0.2">
      <c r="C33" s="68"/>
      <c r="D33" s="68"/>
      <c r="E33" s="68"/>
      <c r="F33" s="68"/>
      <c r="G33" s="68"/>
      <c r="H33" s="68"/>
      <c r="J33" s="100"/>
      <c r="K33" s="270"/>
    </row>
    <row r="34" spans="2:12" ht="13.5" thickBot="1" x14ac:dyDescent="0.25">
      <c r="B34" s="30" t="s">
        <v>46</v>
      </c>
      <c r="C34" s="226">
        <f>+C9-C32</f>
        <v>-513474</v>
      </c>
      <c r="D34" s="82"/>
      <c r="E34" s="227">
        <f>+E9-E32</f>
        <v>-469474.14</v>
      </c>
      <c r="F34" s="82"/>
      <c r="G34" s="226">
        <f>+G9-G32</f>
        <v>-529726</v>
      </c>
      <c r="H34" s="68"/>
      <c r="I34" s="226">
        <f>+I9-I32</f>
        <v>-545887.49635499995</v>
      </c>
      <c r="J34" s="100" t="s">
        <v>104</v>
      </c>
      <c r="K34" s="277">
        <f t="shared" ref="K34" si="2">+(I34-G34)/G34</f>
        <v>3.0509162010171207E-2</v>
      </c>
      <c r="L34" s="36"/>
    </row>
    <row r="35" spans="2:12" ht="13.5" thickTop="1" x14ac:dyDescent="0.2">
      <c r="B35" s="2"/>
      <c r="C35" s="85"/>
      <c r="D35" s="85"/>
      <c r="E35" s="85"/>
      <c r="F35" s="85"/>
      <c r="G35" s="68"/>
      <c r="H35" s="68"/>
    </row>
    <row r="36" spans="2:12" x14ac:dyDescent="0.2">
      <c r="B36" s="12"/>
      <c r="C36" s="85"/>
      <c r="D36" s="85"/>
      <c r="E36" s="85"/>
      <c r="F36" s="85"/>
    </row>
    <row r="37" spans="2:12" customFormat="1" x14ac:dyDescent="0.2">
      <c r="I37" s="79"/>
      <c r="K37" s="233"/>
    </row>
    <row r="38" spans="2:12" customFormat="1" x14ac:dyDescent="0.2">
      <c r="I38" s="79"/>
      <c r="K38" s="233"/>
    </row>
    <row r="39" spans="2:12" customFormat="1" x14ac:dyDescent="0.2">
      <c r="I39" s="79"/>
      <c r="K39" s="233"/>
    </row>
    <row r="40" spans="2:12" customFormat="1" x14ac:dyDescent="0.2">
      <c r="I40" s="79"/>
      <c r="K40" s="233"/>
    </row>
    <row r="41" spans="2:12" customFormat="1" x14ac:dyDescent="0.2">
      <c r="I41" s="79"/>
      <c r="K41" s="233"/>
    </row>
    <row r="42" spans="2:12" customFormat="1" x14ac:dyDescent="0.2">
      <c r="I42" s="79"/>
      <c r="K42" s="233"/>
    </row>
    <row r="43" spans="2:12" customFormat="1" x14ac:dyDescent="0.2">
      <c r="I43" s="79"/>
      <c r="K43" s="233"/>
    </row>
    <row r="44" spans="2:12" customFormat="1" x14ac:dyDescent="0.2">
      <c r="I44" s="79"/>
      <c r="K44" s="233"/>
    </row>
    <row r="45" spans="2:12" customFormat="1" x14ac:dyDescent="0.2">
      <c r="I45" s="79"/>
      <c r="K45" s="233"/>
    </row>
    <row r="46" spans="2:12" customFormat="1" x14ac:dyDescent="0.2">
      <c r="I46" s="79"/>
      <c r="K46" s="233"/>
    </row>
    <row r="47" spans="2:12" customFormat="1" x14ac:dyDescent="0.2">
      <c r="I47" s="79"/>
      <c r="K47" s="233"/>
    </row>
    <row r="48" spans="2:12" customFormat="1" x14ac:dyDescent="0.2">
      <c r="I48" s="79"/>
      <c r="K48" s="233"/>
    </row>
    <row r="49" spans="9:11" customFormat="1" x14ac:dyDescent="0.2">
      <c r="I49" s="79"/>
      <c r="K49" s="233"/>
    </row>
    <row r="50" spans="9:11" customFormat="1" x14ac:dyDescent="0.2">
      <c r="I50" s="79"/>
      <c r="K50" s="233"/>
    </row>
    <row r="51" spans="9:11" customFormat="1" x14ac:dyDescent="0.2">
      <c r="I51" s="79"/>
      <c r="K51" s="233"/>
    </row>
    <row r="52" spans="9:11" customFormat="1" x14ac:dyDescent="0.2">
      <c r="I52" s="79"/>
      <c r="K52" s="233"/>
    </row>
    <row r="53" spans="9:11" customFormat="1" x14ac:dyDescent="0.2">
      <c r="I53" s="79"/>
      <c r="K53" s="233"/>
    </row>
    <row r="54" spans="9:11" customFormat="1" x14ac:dyDescent="0.2">
      <c r="I54" s="79"/>
      <c r="K54" s="233"/>
    </row>
    <row r="55" spans="9:11" customFormat="1" x14ac:dyDescent="0.2">
      <c r="I55" s="79"/>
      <c r="K55" s="233"/>
    </row>
    <row r="56" spans="9:11" customFormat="1" x14ac:dyDescent="0.2">
      <c r="I56" s="79"/>
      <c r="K56" s="233"/>
    </row>
    <row r="57" spans="9:11" customFormat="1" x14ac:dyDescent="0.2">
      <c r="I57" s="79"/>
      <c r="K57" s="233"/>
    </row>
    <row r="58" spans="9:11" customFormat="1" x14ac:dyDescent="0.2">
      <c r="I58" s="79"/>
      <c r="K58" s="233"/>
    </row>
    <row r="59" spans="9:11" customFormat="1" x14ac:dyDescent="0.2">
      <c r="I59" s="79"/>
      <c r="K59" s="233"/>
    </row>
    <row r="60" spans="9:11" customFormat="1" x14ac:dyDescent="0.2">
      <c r="I60" s="79"/>
      <c r="K60" s="233"/>
    </row>
    <row r="61" spans="9:11" customFormat="1" x14ac:dyDescent="0.2">
      <c r="I61" s="79"/>
      <c r="K61" s="233"/>
    </row>
    <row r="62" spans="9:11" customFormat="1" x14ac:dyDescent="0.2">
      <c r="I62" s="79"/>
      <c r="K62" s="233"/>
    </row>
    <row r="63" spans="9:11" customFormat="1" x14ac:dyDescent="0.2">
      <c r="I63" s="79"/>
      <c r="K63" s="233"/>
    </row>
    <row r="64" spans="9:11" customFormat="1" x14ac:dyDescent="0.2">
      <c r="I64" s="79"/>
      <c r="K64" s="233"/>
    </row>
    <row r="65" spans="9:11" customFormat="1" x14ac:dyDescent="0.2">
      <c r="I65" s="79"/>
      <c r="K65" s="233"/>
    </row>
    <row r="66" spans="9:11" customFormat="1" x14ac:dyDescent="0.2">
      <c r="I66" s="79"/>
      <c r="K66" s="233"/>
    </row>
    <row r="67" spans="9:11" customFormat="1" x14ac:dyDescent="0.2">
      <c r="I67" s="79"/>
      <c r="K67" s="233"/>
    </row>
    <row r="68" spans="9:11" customFormat="1" x14ac:dyDescent="0.2">
      <c r="I68" s="79"/>
      <c r="K68" s="233"/>
    </row>
    <row r="69" spans="9:11" customFormat="1" x14ac:dyDescent="0.2">
      <c r="I69" s="79"/>
      <c r="K69" s="233"/>
    </row>
    <row r="70" spans="9:11" customFormat="1" x14ac:dyDescent="0.2">
      <c r="I70" s="79"/>
      <c r="K70" s="233"/>
    </row>
    <row r="71" spans="9:11" customFormat="1" x14ac:dyDescent="0.2">
      <c r="I71" s="79"/>
      <c r="K71" s="233"/>
    </row>
    <row r="72" spans="9:11" customFormat="1" x14ac:dyDescent="0.2">
      <c r="I72" s="79"/>
      <c r="K72" s="233"/>
    </row>
    <row r="73" spans="9:11" customFormat="1" x14ac:dyDescent="0.2">
      <c r="I73" s="79"/>
      <c r="K73" s="233"/>
    </row>
    <row r="74" spans="9:11" customFormat="1" x14ac:dyDescent="0.2">
      <c r="I74" s="79"/>
      <c r="K74" s="233"/>
    </row>
    <row r="75" spans="9:11" customFormat="1" x14ac:dyDescent="0.2">
      <c r="I75" s="79"/>
      <c r="K75" s="233"/>
    </row>
    <row r="76" spans="9:11" customFormat="1" x14ac:dyDescent="0.2">
      <c r="I76" s="79"/>
      <c r="K76" s="233"/>
    </row>
    <row r="77" spans="9:11" customFormat="1" x14ac:dyDescent="0.2">
      <c r="I77" s="79"/>
      <c r="K77" s="233"/>
    </row>
    <row r="78" spans="9:11" customFormat="1" x14ac:dyDescent="0.2">
      <c r="I78" s="79"/>
      <c r="K78" s="233"/>
    </row>
    <row r="79" spans="9:11" customFormat="1" x14ac:dyDescent="0.2">
      <c r="I79" s="79"/>
      <c r="K79" s="233"/>
    </row>
    <row r="80" spans="9:11" customFormat="1" x14ac:dyDescent="0.2">
      <c r="I80" s="79"/>
      <c r="K80" s="233"/>
    </row>
    <row r="81" spans="9:11" customFormat="1" x14ac:dyDescent="0.2">
      <c r="I81" s="79"/>
      <c r="K81" s="233"/>
    </row>
    <row r="82" spans="9:11" customFormat="1" x14ac:dyDescent="0.2">
      <c r="I82" s="79"/>
      <c r="K82" s="233"/>
    </row>
  </sheetData>
  <mergeCells count="1">
    <mergeCell ref="A1:K1"/>
  </mergeCells>
  <phoneticPr fontId="0" type="noConversion"/>
  <pageMargins left="0" right="0" top="0" bottom="0" header="0" footer="0"/>
  <pageSetup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workbookViewId="0">
      <selection activeCell="P12" sqref="P12"/>
    </sheetView>
  </sheetViews>
  <sheetFormatPr defaultColWidth="10" defaultRowHeight="12.75" x14ac:dyDescent="0.2"/>
  <cols>
    <col min="1" max="1" width="6" style="30" customWidth="1"/>
    <col min="2" max="2" width="15.140625" style="30" customWidth="1"/>
    <col min="3" max="3" width="6.28515625" style="30" customWidth="1"/>
    <col min="4" max="4" width="15.140625" style="30" customWidth="1"/>
    <col min="5" max="5" width="16.140625" style="33" customWidth="1"/>
    <col min="6" max="6" width="2.28515625" style="33" customWidth="1"/>
    <col min="7" max="7" width="16.140625" style="33" customWidth="1"/>
    <col min="8" max="8" width="2.28515625" style="33" customWidth="1"/>
    <col min="9" max="9" width="13.7109375" style="33" customWidth="1"/>
    <col min="10" max="10" width="2.28515625" style="33" customWidth="1"/>
    <col min="11" max="11" width="14.140625" style="33" customWidth="1"/>
    <col min="12" max="12" width="2.28515625" customWidth="1"/>
    <col min="13" max="13" width="15" style="233" customWidth="1"/>
    <col min="14" max="14" width="15" style="30" customWidth="1"/>
    <col min="15" max="16384" width="10" style="30"/>
  </cols>
  <sheetData>
    <row r="1" spans="1:13" x14ac:dyDescent="0.2">
      <c r="A1" s="326" t="s">
        <v>256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</row>
    <row r="2" spans="1:13" x14ac:dyDescent="0.2">
      <c r="A2" s="163"/>
      <c r="B2" s="164"/>
      <c r="C2" s="308"/>
      <c r="D2" s="308"/>
      <c r="E2" s="164"/>
      <c r="F2" s="164"/>
      <c r="G2" s="164"/>
      <c r="H2" s="164"/>
      <c r="I2" s="164"/>
      <c r="J2" s="164"/>
      <c r="K2" s="164"/>
    </row>
    <row r="3" spans="1:13" x14ac:dyDescent="0.2">
      <c r="E3" s="42" t="str">
        <f>cover!C6</f>
        <v>APPROVED</v>
      </c>
      <c r="F3" s="42"/>
      <c r="G3" s="42" t="str">
        <f>cover!E6</f>
        <v xml:space="preserve"> </v>
      </c>
      <c r="H3" s="42"/>
      <c r="I3" s="42" t="str">
        <f>cover!G6</f>
        <v>APPROVED</v>
      </c>
      <c r="J3" s="42"/>
      <c r="K3" s="42" t="str">
        <f>cover!I6</f>
        <v>REQUESTED</v>
      </c>
      <c r="M3" s="126" t="str">
        <f>cover!K6</f>
        <v>PERCENT</v>
      </c>
    </row>
    <row r="4" spans="1:13" x14ac:dyDescent="0.2">
      <c r="B4" s="29"/>
      <c r="C4" s="29"/>
      <c r="D4" s="29"/>
      <c r="E4" s="42" t="str">
        <f>cover!C7</f>
        <v>BUDGET</v>
      </c>
      <c r="F4" s="42"/>
      <c r="G4" s="42" t="str">
        <f>cover!E7</f>
        <v>ACTUAL</v>
      </c>
      <c r="H4" s="42"/>
      <c r="I4" s="42" t="str">
        <f>cover!G7</f>
        <v>BUDGET</v>
      </c>
      <c r="J4" s="42"/>
      <c r="K4" s="42" t="str">
        <f>cover!I7</f>
        <v>BUDGET</v>
      </c>
      <c r="M4" s="126" t="str">
        <f>cover!K7</f>
        <v>CHANGE</v>
      </c>
    </row>
    <row r="5" spans="1:13" x14ac:dyDescent="0.2">
      <c r="A5" s="297"/>
      <c r="B5" s="297"/>
      <c r="C5" s="297"/>
      <c r="D5" s="297"/>
      <c r="E5" s="294" t="str">
        <f>cover!C8</f>
        <v>2010-11</v>
      </c>
      <c r="F5" s="294"/>
      <c r="G5" s="294" t="str">
        <f>cover!E8</f>
        <v>2010-11</v>
      </c>
      <c r="H5" s="294"/>
      <c r="I5" s="294" t="str">
        <f>cover!G8</f>
        <v>2011 -12</v>
      </c>
      <c r="J5" s="294"/>
      <c r="K5" s="294" t="str">
        <f>cover!I8</f>
        <v>2012 -13</v>
      </c>
      <c r="L5" s="312"/>
      <c r="M5" s="294" t="str">
        <f>cover!K8</f>
        <v>FY12/FY13</v>
      </c>
    </row>
    <row r="6" spans="1:13" x14ac:dyDescent="0.2">
      <c r="A6" s="30" t="s">
        <v>19</v>
      </c>
      <c r="E6" s="68"/>
      <c r="F6" s="68"/>
      <c r="G6" s="68"/>
      <c r="H6" s="68"/>
      <c r="I6" s="68"/>
      <c r="J6" s="68"/>
      <c r="K6" s="68"/>
      <c r="L6" s="100"/>
      <c r="M6" s="253"/>
    </row>
    <row r="7" spans="1:13" x14ac:dyDescent="0.2">
      <c r="B7" s="2" t="s">
        <v>415</v>
      </c>
      <c r="C7" s="2"/>
      <c r="D7" s="2"/>
      <c r="E7" s="68">
        <v>0</v>
      </c>
      <c r="F7" s="68"/>
      <c r="G7" s="68">
        <v>0</v>
      </c>
      <c r="H7" s="68"/>
      <c r="I7" s="68">
        <v>0</v>
      </c>
      <c r="J7" s="68"/>
      <c r="K7" s="68">
        <v>20000</v>
      </c>
      <c r="L7" s="100"/>
      <c r="M7" s="273">
        <v>1</v>
      </c>
    </row>
    <row r="8" spans="1:13" x14ac:dyDescent="0.2">
      <c r="B8" s="12"/>
      <c r="C8" s="12"/>
      <c r="D8" s="12" t="s">
        <v>417</v>
      </c>
      <c r="E8" s="70">
        <f>E7</f>
        <v>0</v>
      </c>
      <c r="F8" s="68"/>
      <c r="G8" s="70">
        <f>G7</f>
        <v>0</v>
      </c>
      <c r="H8" s="68"/>
      <c r="I8" s="70">
        <f>I7</f>
        <v>0</v>
      </c>
      <c r="J8" s="68"/>
      <c r="K8" s="70">
        <f>K7</f>
        <v>20000</v>
      </c>
      <c r="L8" s="100"/>
      <c r="M8" s="311">
        <f>M7</f>
        <v>1</v>
      </c>
    </row>
    <row r="9" spans="1:13" x14ac:dyDescent="0.2">
      <c r="E9" s="82"/>
      <c r="F9" s="82"/>
      <c r="G9" s="82"/>
      <c r="H9" s="82"/>
      <c r="I9" s="68"/>
      <c r="J9" s="68"/>
      <c r="K9" s="68"/>
      <c r="L9" s="100"/>
      <c r="M9" s="253"/>
    </row>
    <row r="10" spans="1:13" x14ac:dyDescent="0.2">
      <c r="A10" s="30" t="s">
        <v>37</v>
      </c>
      <c r="E10" s="82"/>
      <c r="F10" s="82"/>
      <c r="G10" s="82"/>
      <c r="H10" s="82"/>
      <c r="I10" s="68"/>
      <c r="J10" s="68"/>
      <c r="K10" s="68"/>
      <c r="L10" s="100"/>
      <c r="M10" s="253"/>
    </row>
    <row r="11" spans="1:13" x14ac:dyDescent="0.2">
      <c r="E11" s="82"/>
      <c r="F11" s="82"/>
      <c r="G11" s="82"/>
      <c r="H11" s="82"/>
      <c r="I11" s="68"/>
      <c r="J11" s="68"/>
      <c r="K11" s="68"/>
      <c r="L11" s="100"/>
      <c r="M11" s="253"/>
    </row>
    <row r="12" spans="1:13" x14ac:dyDescent="0.2">
      <c r="B12" s="2" t="s">
        <v>257</v>
      </c>
      <c r="C12" s="2"/>
      <c r="D12" s="2"/>
      <c r="E12" s="71">
        <v>11976</v>
      </c>
      <c r="F12" s="115"/>
      <c r="G12" s="115">
        <v>11848.78</v>
      </c>
      <c r="H12" s="115"/>
      <c r="I12" s="71">
        <v>12204</v>
      </c>
      <c r="J12" s="71"/>
      <c r="K12" s="71">
        <v>12570.48</v>
      </c>
      <c r="L12" s="100"/>
      <c r="M12" s="270">
        <f>+(K12-I12)/I12</f>
        <v>3.0029498525073712E-2</v>
      </c>
    </row>
    <row r="13" spans="1:13" x14ac:dyDescent="0.2">
      <c r="B13" s="2" t="s">
        <v>258</v>
      </c>
      <c r="C13" s="2"/>
      <c r="D13" s="2"/>
      <c r="E13" s="80">
        <v>45918</v>
      </c>
      <c r="F13" s="115"/>
      <c r="G13" s="116">
        <v>46495.83</v>
      </c>
      <c r="H13" s="115"/>
      <c r="I13" s="80">
        <v>48655</v>
      </c>
      <c r="J13" s="71"/>
      <c r="K13" s="71">
        <v>51161.55</v>
      </c>
      <c r="L13" s="100"/>
      <c r="M13" s="270">
        <f>+(K13-I13)/I13</f>
        <v>5.1516801973075795E-2</v>
      </c>
    </row>
    <row r="14" spans="1:13" x14ac:dyDescent="0.2">
      <c r="B14" s="31"/>
      <c r="C14" s="31"/>
      <c r="D14" s="31" t="s">
        <v>23</v>
      </c>
      <c r="E14" s="70">
        <f>SUM(E12:E13)</f>
        <v>57894</v>
      </c>
      <c r="F14" s="82"/>
      <c r="G14" s="83">
        <f>SUM(G12:G13)</f>
        <v>58344.61</v>
      </c>
      <c r="H14" s="82"/>
      <c r="I14" s="70">
        <f>SUM(I12:I13)</f>
        <v>60859</v>
      </c>
      <c r="J14" s="68"/>
      <c r="K14" s="70">
        <f>SUM(K12:K13)</f>
        <v>63732.03</v>
      </c>
      <c r="L14" s="100"/>
      <c r="M14" s="272">
        <f>+(K14-I14)/I14</f>
        <v>4.7207972526659966E-2</v>
      </c>
    </row>
    <row r="15" spans="1:13" x14ac:dyDescent="0.2">
      <c r="E15" s="82"/>
      <c r="F15" s="82"/>
      <c r="G15" s="82"/>
      <c r="H15" s="82"/>
      <c r="I15" s="68"/>
      <c r="J15" s="68"/>
      <c r="K15" s="68"/>
      <c r="L15" s="100"/>
      <c r="M15" s="253"/>
    </row>
    <row r="16" spans="1:13" x14ac:dyDescent="0.2">
      <c r="A16" s="30" t="s">
        <v>24</v>
      </c>
      <c r="E16" s="82"/>
      <c r="F16" s="82"/>
      <c r="G16" s="82"/>
      <c r="H16" s="82"/>
      <c r="I16" s="68"/>
      <c r="J16" s="68"/>
      <c r="K16" s="68"/>
      <c r="L16" s="100"/>
      <c r="M16" s="253"/>
    </row>
    <row r="17" spans="1:13" x14ac:dyDescent="0.2">
      <c r="B17" s="278"/>
      <c r="C17" s="278"/>
      <c r="D17" s="278"/>
      <c r="E17" s="120"/>
      <c r="F17" s="120"/>
      <c r="G17" s="120"/>
      <c r="H17" s="120"/>
      <c r="I17" s="71"/>
      <c r="J17" s="71"/>
      <c r="K17" s="71"/>
      <c r="L17" s="100"/>
      <c r="M17" s="253"/>
    </row>
    <row r="18" spans="1:13" x14ac:dyDescent="0.2">
      <c r="B18" s="30" t="s">
        <v>25</v>
      </c>
      <c r="E18" s="71">
        <f>6290+27563</f>
        <v>33853</v>
      </c>
      <c r="F18" s="115"/>
      <c r="G18" s="115">
        <v>30303.53</v>
      </c>
      <c r="H18" s="115"/>
      <c r="I18" s="135">
        <v>36199</v>
      </c>
      <c r="J18" s="122"/>
      <c r="K18" s="135">
        <f>14784+14632.2+2953.2+3595.16</f>
        <v>35964.559999999998</v>
      </c>
      <c r="L18" s="100"/>
      <c r="M18" s="270">
        <f>+(K18-I18)/I18</f>
        <v>-6.4764220006078158E-3</v>
      </c>
    </row>
    <row r="19" spans="1:13" x14ac:dyDescent="0.2">
      <c r="B19" s="12"/>
      <c r="C19" s="12"/>
      <c r="D19" s="12" t="s">
        <v>38</v>
      </c>
      <c r="E19" s="166">
        <f>SUM(E18:E18)</f>
        <v>33853</v>
      </c>
      <c r="F19" s="115"/>
      <c r="G19" s="167">
        <f>SUM(G18:G18)</f>
        <v>30303.53</v>
      </c>
      <c r="H19" s="115"/>
      <c r="I19" s="279">
        <f>SUM(I18:I18)</f>
        <v>36199</v>
      </c>
      <c r="J19" s="122"/>
      <c r="K19" s="279">
        <f>SUM(K18:K18)</f>
        <v>35964.559999999998</v>
      </c>
      <c r="L19" s="100"/>
      <c r="M19" s="272">
        <f>+(K19-I19)/I19</f>
        <v>-6.4764220006078158E-3</v>
      </c>
    </row>
    <row r="20" spans="1:13" x14ac:dyDescent="0.2">
      <c r="I20" s="68"/>
      <c r="J20" s="68"/>
      <c r="K20" s="68"/>
      <c r="L20" s="100"/>
      <c r="M20" s="253"/>
    </row>
    <row r="21" spans="1:13" x14ac:dyDescent="0.2">
      <c r="A21" s="30" t="s">
        <v>27</v>
      </c>
      <c r="I21" s="68"/>
      <c r="J21" s="68"/>
      <c r="K21" s="68"/>
      <c r="L21" s="100"/>
      <c r="M21" s="253"/>
    </row>
    <row r="22" spans="1:13" x14ac:dyDescent="0.2">
      <c r="B22" s="13" t="s">
        <v>259</v>
      </c>
      <c r="C22" s="13"/>
      <c r="D22" s="13"/>
      <c r="E22" s="71">
        <v>337</v>
      </c>
      <c r="F22" s="115"/>
      <c r="G22" s="115">
        <v>241.79</v>
      </c>
      <c r="H22" s="115"/>
      <c r="I22" s="71">
        <v>875</v>
      </c>
      <c r="J22" s="71"/>
      <c r="K22" s="71">
        <v>875</v>
      </c>
      <c r="L22" s="100"/>
      <c r="M22" s="270">
        <f t="shared" ref="M22" si="0">+(K22-I22)/I22</f>
        <v>0</v>
      </c>
    </row>
    <row r="23" spans="1:13" x14ac:dyDescent="0.2">
      <c r="B23" s="13" t="s">
        <v>178</v>
      </c>
      <c r="C23" s="13"/>
      <c r="D23" s="13"/>
      <c r="E23" s="71">
        <v>557</v>
      </c>
      <c r="F23" s="115"/>
      <c r="G23" s="115">
        <v>2478.73</v>
      </c>
      <c r="H23" s="115"/>
      <c r="I23" s="71">
        <v>557</v>
      </c>
      <c r="J23" s="71"/>
      <c r="K23" s="71">
        <v>2500</v>
      </c>
      <c r="L23" s="100"/>
      <c r="M23" s="270">
        <f t="shared" ref="M23:M35" si="1">+(K23-I23)/I23</f>
        <v>3.4883303411131061</v>
      </c>
    </row>
    <row r="24" spans="1:13" x14ac:dyDescent="0.2">
      <c r="B24" s="13" t="s">
        <v>230</v>
      </c>
      <c r="C24" s="13"/>
      <c r="D24" s="13"/>
      <c r="E24" s="71">
        <v>383</v>
      </c>
      <c r="F24" s="115"/>
      <c r="G24" s="115">
        <v>360</v>
      </c>
      <c r="H24" s="115"/>
      <c r="I24" s="71">
        <v>383</v>
      </c>
      <c r="J24" s="71"/>
      <c r="K24" s="71">
        <v>360</v>
      </c>
      <c r="L24" s="100"/>
      <c r="M24" s="270">
        <f t="shared" si="1"/>
        <v>-6.0052219321148827E-2</v>
      </c>
    </row>
    <row r="25" spans="1:13" x14ac:dyDescent="0.2">
      <c r="B25" s="13" t="s">
        <v>426</v>
      </c>
      <c r="C25" s="13"/>
      <c r="D25" s="13"/>
      <c r="E25" s="71">
        <v>43194</v>
      </c>
      <c r="F25" s="115"/>
      <c r="G25" s="115">
        <v>65052.85</v>
      </c>
      <c r="H25" s="115"/>
      <c r="I25" s="71">
        <v>52532</v>
      </c>
      <c r="J25" s="71"/>
      <c r="K25" s="71">
        <f>+(((G25*0.17)+G25)*0.1)+((G25*0.17)+G25)</f>
        <v>83723.017949999994</v>
      </c>
      <c r="L25" s="100"/>
      <c r="M25" s="270">
        <f t="shared" si="1"/>
        <v>0.59375272119850742</v>
      </c>
    </row>
    <row r="26" spans="1:13" x14ac:dyDescent="0.2">
      <c r="B26" s="13"/>
      <c r="C26" s="13" t="s">
        <v>422</v>
      </c>
      <c r="D26" s="13"/>
      <c r="E26" s="71">
        <v>3174</v>
      </c>
      <c r="F26" s="115"/>
      <c r="G26" s="115">
        <v>2688.72</v>
      </c>
      <c r="H26" s="115"/>
      <c r="I26" s="71">
        <v>3218</v>
      </c>
      <c r="J26" s="71"/>
      <c r="K26" s="71">
        <f>+(((G26*0.05)+G26)*0.05)+((G26*0.05)+G26)</f>
        <v>2964.3137999999999</v>
      </c>
      <c r="L26" s="100"/>
      <c r="M26" s="270">
        <f t="shared" si="1"/>
        <v>-7.8833499067743965E-2</v>
      </c>
    </row>
    <row r="27" spans="1:13" x14ac:dyDescent="0.2">
      <c r="B27" s="13"/>
      <c r="C27" s="13" t="s">
        <v>40</v>
      </c>
      <c r="D27" s="13"/>
      <c r="E27" s="71">
        <v>52887</v>
      </c>
      <c r="F27" s="115"/>
      <c r="G27" s="115">
        <v>42775.22</v>
      </c>
      <c r="H27" s="115"/>
      <c r="I27" s="71">
        <v>52887</v>
      </c>
      <c r="J27" s="71"/>
      <c r="K27" s="71">
        <f>+(((G27*0.05)+G27)*0.05)+((G27*0.05)+G27)</f>
        <v>47159.680050000003</v>
      </c>
      <c r="L27" s="100"/>
      <c r="M27" s="270">
        <f t="shared" si="1"/>
        <v>-0.10829353054625895</v>
      </c>
    </row>
    <row r="28" spans="1:13" x14ac:dyDescent="0.2">
      <c r="B28" s="13"/>
      <c r="C28" s="13" t="s">
        <v>41</v>
      </c>
      <c r="D28" s="13"/>
      <c r="E28" s="71">
        <v>5616</v>
      </c>
      <c r="F28" s="115"/>
      <c r="G28" s="115">
        <v>3724.38</v>
      </c>
      <c r="H28" s="115"/>
      <c r="I28" s="71">
        <v>5616</v>
      </c>
      <c r="J28" s="71"/>
      <c r="K28" s="71">
        <f>+(((G28*0.045)+G28)*0.03)+((G28*0.045)+G28)</f>
        <v>4008.7364130000001</v>
      </c>
      <c r="L28" s="100"/>
      <c r="M28" s="270">
        <f t="shared" si="1"/>
        <v>-0.28619365865384616</v>
      </c>
    </row>
    <row r="29" spans="1:13" x14ac:dyDescent="0.2">
      <c r="B29" s="13"/>
      <c r="C29" s="13" t="s">
        <v>42</v>
      </c>
      <c r="D29" s="13"/>
      <c r="E29" s="71">
        <v>6422</v>
      </c>
      <c r="F29" s="115"/>
      <c r="G29" s="115">
        <v>4967.3999999999996</v>
      </c>
      <c r="H29" s="115"/>
      <c r="I29" s="71">
        <v>6422</v>
      </c>
      <c r="J29" s="71"/>
      <c r="K29" s="71">
        <f>+(((G29*0.1)+G29)*0.1)+((G29*0.1)+G29)</f>
        <v>6010.5539999999992</v>
      </c>
      <c r="L29" s="100"/>
      <c r="M29" s="270">
        <f t="shared" si="1"/>
        <v>-6.4068203052008846E-2</v>
      </c>
    </row>
    <row r="30" spans="1:13" x14ac:dyDescent="0.2">
      <c r="B30" s="31"/>
      <c r="C30" s="13" t="s">
        <v>64</v>
      </c>
      <c r="D30" s="13"/>
      <c r="E30" s="71">
        <v>3691</v>
      </c>
      <c r="F30" s="115"/>
      <c r="G30" s="115">
        <v>2316</v>
      </c>
      <c r="H30" s="115"/>
      <c r="I30" s="71">
        <v>3691</v>
      </c>
      <c r="J30" s="71"/>
      <c r="K30" s="71">
        <v>3765</v>
      </c>
      <c r="L30" s="100"/>
      <c r="M30" s="270">
        <f t="shared" si="1"/>
        <v>2.0048767271742075E-2</v>
      </c>
    </row>
    <row r="31" spans="1:13" x14ac:dyDescent="0.2">
      <c r="B31" s="13" t="s">
        <v>427</v>
      </c>
      <c r="C31" s="13"/>
      <c r="D31" s="13"/>
      <c r="E31" s="71">
        <v>5574</v>
      </c>
      <c r="F31" s="115"/>
      <c r="G31" s="115">
        <v>1005.05</v>
      </c>
      <c r="H31" s="115"/>
      <c r="I31" s="71">
        <v>5574</v>
      </c>
      <c r="J31" s="71"/>
      <c r="K31" s="71">
        <v>5574</v>
      </c>
      <c r="L31" s="100"/>
      <c r="M31" s="270">
        <f t="shared" si="1"/>
        <v>0</v>
      </c>
    </row>
    <row r="32" spans="1:13" x14ac:dyDescent="0.2">
      <c r="B32" s="63"/>
      <c r="C32" s="13" t="s">
        <v>423</v>
      </c>
      <c r="D32" s="13"/>
      <c r="E32" s="71">
        <v>21150</v>
      </c>
      <c r="F32" s="115"/>
      <c r="G32" s="115">
        <v>16461.87</v>
      </c>
      <c r="H32" s="115"/>
      <c r="I32" s="71">
        <v>21150</v>
      </c>
      <c r="J32" s="71"/>
      <c r="K32" s="71">
        <v>21150</v>
      </c>
      <c r="L32" s="100"/>
      <c r="M32" s="270">
        <f t="shared" si="1"/>
        <v>0</v>
      </c>
    </row>
    <row r="33" spans="2:14" x14ac:dyDescent="0.2">
      <c r="B33" s="63"/>
      <c r="C33" s="13" t="s">
        <v>424</v>
      </c>
      <c r="D33" s="13"/>
      <c r="E33" s="71">
        <v>113386</v>
      </c>
      <c r="F33" s="115"/>
      <c r="G33" s="115">
        <v>113386</v>
      </c>
      <c r="H33" s="115"/>
      <c r="I33" s="71">
        <v>114633</v>
      </c>
      <c r="J33" s="71"/>
      <c r="K33" s="71">
        <v>114633</v>
      </c>
      <c r="L33" s="100"/>
      <c r="M33" s="270">
        <f t="shared" si="1"/>
        <v>0</v>
      </c>
    </row>
    <row r="34" spans="2:14" x14ac:dyDescent="0.2">
      <c r="B34" s="63"/>
      <c r="C34" s="13" t="s">
        <v>425</v>
      </c>
      <c r="D34" s="13"/>
      <c r="E34" s="71">
        <v>30000</v>
      </c>
      <c r="F34" s="115"/>
      <c r="G34" s="115">
        <v>0</v>
      </c>
      <c r="H34" s="115"/>
      <c r="I34" s="71">
        <v>30000</v>
      </c>
      <c r="J34" s="71"/>
      <c r="K34" s="71">
        <v>30000</v>
      </c>
      <c r="L34" s="100"/>
      <c r="M34" s="270">
        <f t="shared" si="1"/>
        <v>0</v>
      </c>
    </row>
    <row r="35" spans="2:14" x14ac:dyDescent="0.2">
      <c r="B35" s="2" t="s">
        <v>253</v>
      </c>
      <c r="C35" s="2"/>
      <c r="D35" s="2"/>
      <c r="E35" s="71">
        <v>2787</v>
      </c>
      <c r="F35" s="115"/>
      <c r="G35" s="280">
        <v>0</v>
      </c>
      <c r="H35" s="115"/>
      <c r="I35" s="71">
        <v>2787</v>
      </c>
      <c r="J35" s="71"/>
      <c r="K35" s="71">
        <v>2787</v>
      </c>
      <c r="L35" s="100"/>
      <c r="M35" s="270">
        <f t="shared" si="1"/>
        <v>0</v>
      </c>
    </row>
    <row r="36" spans="2:14" hidden="1" x14ac:dyDescent="0.2">
      <c r="B36" s="30" t="s">
        <v>44</v>
      </c>
      <c r="E36" s="82"/>
      <c r="F36" s="82"/>
      <c r="G36" s="82"/>
      <c r="H36" s="82"/>
      <c r="I36" s="71"/>
      <c r="J36" s="71"/>
      <c r="K36" s="71"/>
      <c r="L36" s="100"/>
      <c r="M36" s="270"/>
    </row>
    <row r="37" spans="2:14" x14ac:dyDescent="0.2">
      <c r="B37" s="12"/>
      <c r="C37" s="12"/>
      <c r="D37" s="12" t="s">
        <v>76</v>
      </c>
      <c r="E37" s="70">
        <f>SUM(E22:E36)</f>
        <v>289158</v>
      </c>
      <c r="F37" s="82"/>
      <c r="G37" s="83">
        <f>SUM(G22:G36)</f>
        <v>255458.01</v>
      </c>
      <c r="H37" s="82"/>
      <c r="I37" s="70">
        <f>SUM(I22:I36)</f>
        <v>300325</v>
      </c>
      <c r="J37" s="68"/>
      <c r="K37" s="70">
        <f>SUM(K22:K36)</f>
        <v>325510.30221300002</v>
      </c>
      <c r="L37" s="100"/>
      <c r="M37" s="272">
        <f>+(K37-I37)/I37</f>
        <v>8.3860158871222903E-2</v>
      </c>
    </row>
    <row r="38" spans="2:14" x14ac:dyDescent="0.2">
      <c r="E38" s="82"/>
      <c r="F38" s="82"/>
      <c r="G38" s="82"/>
      <c r="H38" s="82"/>
      <c r="I38" s="68"/>
      <c r="J38" s="68"/>
      <c r="K38" s="68"/>
      <c r="L38" s="100"/>
      <c r="M38" s="270"/>
    </row>
    <row r="39" spans="2:14" x14ac:dyDescent="0.2">
      <c r="B39" s="30" t="s">
        <v>33</v>
      </c>
      <c r="E39" s="67">
        <f>SUM(E14+E19+E37)</f>
        <v>380905</v>
      </c>
      <c r="F39" s="82"/>
      <c r="G39" s="81">
        <f>SUM(G14+G19+G37)</f>
        <v>344106.15</v>
      </c>
      <c r="H39" s="82"/>
      <c r="I39" s="67">
        <f>SUM(I14+I19+I37)</f>
        <v>397383</v>
      </c>
      <c r="J39" s="68"/>
      <c r="K39" s="67">
        <f>SUM(K14+K18+K37)</f>
        <v>425206.89221299998</v>
      </c>
      <c r="L39" s="100"/>
      <c r="M39" s="274">
        <f t="shared" ref="M39" si="2">+(K39-I39)/I39</f>
        <v>7.0017822133810415E-2</v>
      </c>
    </row>
    <row r="40" spans="2:14" x14ac:dyDescent="0.2">
      <c r="E40" s="82"/>
      <c r="F40" s="82"/>
      <c r="G40" s="82"/>
      <c r="H40" s="82"/>
      <c r="I40" s="68"/>
      <c r="J40" s="68"/>
      <c r="K40" s="68"/>
      <c r="L40" s="100"/>
      <c r="M40" s="270"/>
    </row>
    <row r="41" spans="2:14" ht="13.5" thickBot="1" x14ac:dyDescent="0.25">
      <c r="B41" s="30" t="s">
        <v>46</v>
      </c>
      <c r="E41" s="226">
        <f>SUM(E6-E14-E18-E37)</f>
        <v>-380905</v>
      </c>
      <c r="F41" s="82"/>
      <c r="G41" s="227">
        <f>SUM(G6-G14-G18-G37)</f>
        <v>-344106.15</v>
      </c>
      <c r="H41" s="82"/>
      <c r="I41" s="226">
        <f>SUM(I6-I14-I18-I37)</f>
        <v>-397383</v>
      </c>
      <c r="J41" s="82"/>
      <c r="K41" s="226">
        <f>SUM(K6-K14-K18-K37)</f>
        <v>-425206.89221299998</v>
      </c>
      <c r="L41" s="100"/>
      <c r="M41" s="277">
        <f t="shared" ref="M41" si="3">+(K41-I41)/I41</f>
        <v>7.0017822133810415E-2</v>
      </c>
      <c r="N41" s="36"/>
    </row>
    <row r="42" spans="2:14" ht="13.5" thickTop="1" x14ac:dyDescent="0.2">
      <c r="B42" s="2"/>
      <c r="C42" s="2"/>
      <c r="D42" s="2"/>
      <c r="E42" s="85"/>
      <c r="F42" s="85"/>
      <c r="G42" s="85"/>
      <c r="H42" s="85"/>
      <c r="I42" s="68"/>
      <c r="J42" s="68"/>
      <c r="K42" s="68"/>
    </row>
    <row r="43" spans="2:14" x14ac:dyDescent="0.2">
      <c r="B43" s="12"/>
      <c r="C43" s="12"/>
      <c r="D43" s="12"/>
      <c r="E43" s="85"/>
      <c r="F43" s="85"/>
      <c r="G43" s="85"/>
      <c r="H43" s="85"/>
    </row>
    <row r="44" spans="2:14" customFormat="1" x14ac:dyDescent="0.2">
      <c r="M44" s="233"/>
    </row>
    <row r="45" spans="2:14" customFormat="1" x14ac:dyDescent="0.2">
      <c r="K45" s="79"/>
      <c r="M45" s="233"/>
    </row>
    <row r="46" spans="2:14" customFormat="1" x14ac:dyDescent="0.2">
      <c r="M46" s="233"/>
    </row>
    <row r="47" spans="2:14" customFormat="1" x14ac:dyDescent="0.2">
      <c r="M47" s="233"/>
    </row>
    <row r="48" spans="2:14" customFormat="1" x14ac:dyDescent="0.2">
      <c r="M48" s="233"/>
    </row>
    <row r="49" spans="13:13" customFormat="1" x14ac:dyDescent="0.2">
      <c r="M49" s="233"/>
    </row>
    <row r="50" spans="13:13" customFormat="1" x14ac:dyDescent="0.2">
      <c r="M50" s="233"/>
    </row>
    <row r="51" spans="13:13" customFormat="1" x14ac:dyDescent="0.2">
      <c r="M51" s="233"/>
    </row>
    <row r="52" spans="13:13" customFormat="1" x14ac:dyDescent="0.2">
      <c r="M52" s="233"/>
    </row>
    <row r="53" spans="13:13" customFormat="1" x14ac:dyDescent="0.2">
      <c r="M53" s="233"/>
    </row>
    <row r="54" spans="13:13" customFormat="1" x14ac:dyDescent="0.2">
      <c r="M54" s="233"/>
    </row>
    <row r="55" spans="13:13" customFormat="1" x14ac:dyDescent="0.2">
      <c r="M55" s="233"/>
    </row>
    <row r="56" spans="13:13" customFormat="1" x14ac:dyDescent="0.2">
      <c r="M56" s="233"/>
    </row>
    <row r="57" spans="13:13" customFormat="1" x14ac:dyDescent="0.2">
      <c r="M57" s="233"/>
    </row>
    <row r="58" spans="13:13" customFormat="1" x14ac:dyDescent="0.2">
      <c r="M58" s="233"/>
    </row>
    <row r="59" spans="13:13" customFormat="1" x14ac:dyDescent="0.2">
      <c r="M59" s="233"/>
    </row>
    <row r="60" spans="13:13" customFormat="1" x14ac:dyDescent="0.2">
      <c r="M60" s="233"/>
    </row>
    <row r="61" spans="13:13" customFormat="1" x14ac:dyDescent="0.2">
      <c r="M61" s="233"/>
    </row>
    <row r="62" spans="13:13" customFormat="1" x14ac:dyDescent="0.2">
      <c r="M62" s="233"/>
    </row>
    <row r="63" spans="13:13" customFormat="1" x14ac:dyDescent="0.2">
      <c r="M63" s="233"/>
    </row>
    <row r="64" spans="13:13" customFormat="1" x14ac:dyDescent="0.2">
      <c r="M64" s="233"/>
    </row>
    <row r="65" spans="13:13" customFormat="1" x14ac:dyDescent="0.2">
      <c r="M65" s="233"/>
    </row>
    <row r="66" spans="13:13" customFormat="1" x14ac:dyDescent="0.2">
      <c r="M66" s="233"/>
    </row>
    <row r="67" spans="13:13" customFormat="1" x14ac:dyDescent="0.2">
      <c r="M67" s="233"/>
    </row>
    <row r="68" spans="13:13" customFormat="1" x14ac:dyDescent="0.2">
      <c r="M68" s="233"/>
    </row>
    <row r="69" spans="13:13" customFormat="1" x14ac:dyDescent="0.2">
      <c r="M69" s="233"/>
    </row>
    <row r="70" spans="13:13" customFormat="1" x14ac:dyDescent="0.2">
      <c r="M70" s="233"/>
    </row>
    <row r="71" spans="13:13" customFormat="1" x14ac:dyDescent="0.2">
      <c r="M71" s="233"/>
    </row>
    <row r="72" spans="13:13" customFormat="1" x14ac:dyDescent="0.2">
      <c r="M72" s="233"/>
    </row>
    <row r="73" spans="13:13" customFormat="1" x14ac:dyDescent="0.2">
      <c r="M73" s="233"/>
    </row>
    <row r="74" spans="13:13" customFormat="1" x14ac:dyDescent="0.2">
      <c r="M74" s="233"/>
    </row>
    <row r="75" spans="13:13" customFormat="1" x14ac:dyDescent="0.2">
      <c r="M75" s="233"/>
    </row>
    <row r="76" spans="13:13" customFormat="1" x14ac:dyDescent="0.2">
      <c r="M76" s="233"/>
    </row>
    <row r="77" spans="13:13" customFormat="1" x14ac:dyDescent="0.2">
      <c r="M77" s="233"/>
    </row>
    <row r="78" spans="13:13" customFormat="1" x14ac:dyDescent="0.2">
      <c r="M78" s="233"/>
    </row>
    <row r="79" spans="13:13" customFormat="1" x14ac:dyDescent="0.2">
      <c r="M79" s="233"/>
    </row>
    <row r="80" spans="13:13" customFormat="1" x14ac:dyDescent="0.2">
      <c r="M80" s="233"/>
    </row>
    <row r="81" spans="13:13" customFormat="1" x14ac:dyDescent="0.2">
      <c r="M81" s="233"/>
    </row>
    <row r="82" spans="13:13" customFormat="1" x14ac:dyDescent="0.2">
      <c r="M82" s="233"/>
    </row>
    <row r="83" spans="13:13" customFormat="1" x14ac:dyDescent="0.2">
      <c r="M83" s="233"/>
    </row>
    <row r="84" spans="13:13" customFormat="1" x14ac:dyDescent="0.2">
      <c r="M84" s="233"/>
    </row>
    <row r="85" spans="13:13" customFormat="1" x14ac:dyDescent="0.2">
      <c r="M85" s="233"/>
    </row>
    <row r="86" spans="13:13" customFormat="1" x14ac:dyDescent="0.2">
      <c r="M86" s="233"/>
    </row>
    <row r="87" spans="13:13" customFormat="1" x14ac:dyDescent="0.2">
      <c r="M87" s="233"/>
    </row>
    <row r="88" spans="13:13" customFormat="1" x14ac:dyDescent="0.2">
      <c r="M88" s="233"/>
    </row>
    <row r="89" spans="13:13" customFormat="1" x14ac:dyDescent="0.2">
      <c r="M89" s="233"/>
    </row>
  </sheetData>
  <mergeCells count="1">
    <mergeCell ref="A1:M1"/>
  </mergeCells>
  <phoneticPr fontId="0" type="noConversion"/>
  <pageMargins left="0" right="0" top="0" bottom="0" header="0" footer="0"/>
  <pageSetup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workbookViewId="0">
      <selection activeCell="B30" sqref="B30"/>
    </sheetView>
  </sheetViews>
  <sheetFormatPr defaultColWidth="10" defaultRowHeight="12.75" x14ac:dyDescent="0.2"/>
  <cols>
    <col min="1" max="1" width="7.85546875" style="2" customWidth="1"/>
    <col min="2" max="2" width="34.42578125" style="2" bestFit="1" customWidth="1"/>
    <col min="3" max="3" width="11.28515625" style="26" bestFit="1" customWidth="1"/>
    <col min="4" max="4" width="2.28515625" style="26" customWidth="1"/>
    <col min="5" max="5" width="15.85546875" style="26" customWidth="1"/>
    <col min="6" max="6" width="2.28515625" style="26" customWidth="1"/>
    <col min="7" max="7" width="16.140625" style="26" customWidth="1"/>
    <col min="8" max="8" width="2.28515625" style="26" customWidth="1"/>
    <col min="9" max="9" width="16.140625" style="26" customWidth="1"/>
    <col min="10" max="10" width="2.28515625" customWidth="1"/>
    <col min="11" max="11" width="15" style="233" customWidth="1"/>
    <col min="12" max="12" width="15" style="2" customWidth="1"/>
    <col min="13" max="16384" width="10" style="2"/>
  </cols>
  <sheetData>
    <row r="1" spans="1:11" x14ac:dyDescent="0.2">
      <c r="A1" s="326" t="s">
        <v>260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1" x14ac:dyDescent="0.2">
      <c r="A2" s="163"/>
      <c r="B2" s="163"/>
      <c r="C2" s="163"/>
      <c r="D2" s="163"/>
      <c r="E2" s="163"/>
      <c r="F2" s="163"/>
      <c r="G2" s="163"/>
      <c r="H2" s="163"/>
      <c r="I2" s="163"/>
    </row>
    <row r="3" spans="1:11" x14ac:dyDescent="0.2">
      <c r="C3" s="42" t="str">
        <f>cover!C6</f>
        <v>APPROVED</v>
      </c>
      <c r="D3" s="42"/>
      <c r="E3" s="42" t="str">
        <f>cover!E6</f>
        <v xml:space="preserve"> </v>
      </c>
      <c r="F3" s="42"/>
      <c r="G3" s="42" t="str">
        <f>cover!G6</f>
        <v>APPROVED</v>
      </c>
      <c r="H3" s="42"/>
      <c r="I3" s="42" t="str">
        <f>cover!I6</f>
        <v>REQUESTED</v>
      </c>
      <c r="K3" s="126" t="str">
        <f>cover!K6</f>
        <v>PERCENT</v>
      </c>
    </row>
    <row r="4" spans="1:11" x14ac:dyDescent="0.2">
      <c r="C4" s="42" t="str">
        <f>cover!C7</f>
        <v>BUDGET</v>
      </c>
      <c r="D4" s="42"/>
      <c r="E4" s="42" t="str">
        <f>cover!E7</f>
        <v>ACTUAL</v>
      </c>
      <c r="F4" s="42"/>
      <c r="G4" s="42" t="str">
        <f>cover!G7</f>
        <v>BUDGET</v>
      </c>
      <c r="H4" s="42"/>
      <c r="I4" s="42" t="str">
        <f>cover!I7</f>
        <v>BUDGET</v>
      </c>
      <c r="J4" s="37"/>
      <c r="K4" s="126" t="str">
        <f>cover!K7</f>
        <v>CHANGE</v>
      </c>
    </row>
    <row r="5" spans="1:11" x14ac:dyDescent="0.2">
      <c r="A5" s="297"/>
      <c r="B5" s="297"/>
      <c r="C5" s="292" t="str">
        <f>cover!C8</f>
        <v>2010-11</v>
      </c>
      <c r="D5" s="292"/>
      <c r="E5" s="292" t="str">
        <f>cover!E8</f>
        <v>2010-11</v>
      </c>
      <c r="F5" s="292"/>
      <c r="G5" s="292" t="str">
        <f>cover!G8</f>
        <v>2011 -12</v>
      </c>
      <c r="H5" s="292"/>
      <c r="I5" s="292" t="str">
        <f>cover!I8</f>
        <v>2012 -13</v>
      </c>
      <c r="J5" s="293"/>
      <c r="K5" s="294" t="str">
        <f>cover!K8</f>
        <v>FY12/FY13</v>
      </c>
    </row>
    <row r="6" spans="1:11" x14ac:dyDescent="0.2">
      <c r="A6" s="2" t="s">
        <v>19</v>
      </c>
      <c r="C6" s="28"/>
      <c r="D6" s="28"/>
      <c r="E6" s="28"/>
      <c r="F6" s="28"/>
      <c r="G6" s="28"/>
      <c r="H6" s="28"/>
      <c r="I6" s="28"/>
      <c r="J6" s="100"/>
      <c r="K6" s="253"/>
    </row>
    <row r="7" spans="1:11" x14ac:dyDescent="0.2">
      <c r="B7" s="2" t="s">
        <v>261</v>
      </c>
      <c r="C7" s="43">
        <v>5605</v>
      </c>
      <c r="E7" s="26">
        <v>6958.35</v>
      </c>
      <c r="G7" s="43">
        <v>5605</v>
      </c>
      <c r="H7" s="43"/>
      <c r="I7" s="43">
        <v>6900</v>
      </c>
      <c r="J7" s="100"/>
      <c r="K7" s="270">
        <f>+(I7-G7)/G7</f>
        <v>0.23104371097234611</v>
      </c>
    </row>
    <row r="8" spans="1:11" x14ac:dyDescent="0.2">
      <c r="B8" s="2" t="s">
        <v>265</v>
      </c>
      <c r="C8" s="43">
        <v>29252</v>
      </c>
      <c r="E8" s="26">
        <v>37476</v>
      </c>
      <c r="G8" s="43">
        <v>29252</v>
      </c>
      <c r="H8" s="43"/>
      <c r="I8" s="43">
        <v>37500</v>
      </c>
      <c r="J8" s="100"/>
      <c r="K8" s="270">
        <f t="shared" ref="K8:K10" si="0">+(I8-G8)/G8</f>
        <v>0.28196362641870643</v>
      </c>
    </row>
    <row r="9" spans="1:11" x14ac:dyDescent="0.2">
      <c r="B9" s="2" t="s">
        <v>266</v>
      </c>
      <c r="C9" s="43">
        <v>6650</v>
      </c>
      <c r="E9" s="26">
        <v>4428.6499999999996</v>
      </c>
      <c r="G9" s="43">
        <v>4115</v>
      </c>
      <c r="H9" s="43"/>
      <c r="I9" s="43">
        <v>4400</v>
      </c>
      <c r="J9" s="100"/>
      <c r="K9" s="270">
        <f t="shared" si="0"/>
        <v>6.9258809234507904E-2</v>
      </c>
    </row>
    <row r="10" spans="1:11" x14ac:dyDescent="0.2">
      <c r="B10" s="2" t="s">
        <v>267</v>
      </c>
      <c r="C10" s="43">
        <v>475</v>
      </c>
      <c r="E10" s="26">
        <v>693</v>
      </c>
      <c r="G10" s="43">
        <v>475</v>
      </c>
      <c r="H10" s="43"/>
      <c r="I10" s="43">
        <v>690</v>
      </c>
      <c r="J10" s="100"/>
      <c r="K10" s="270">
        <f t="shared" si="0"/>
        <v>0.45263157894736844</v>
      </c>
    </row>
    <row r="11" spans="1:11" x14ac:dyDescent="0.2">
      <c r="B11" s="2" t="s">
        <v>268</v>
      </c>
      <c r="C11" s="43">
        <v>0</v>
      </c>
      <c r="E11" s="26">
        <v>576.25</v>
      </c>
      <c r="G11" s="43">
        <v>0</v>
      </c>
      <c r="H11" s="43"/>
      <c r="I11" s="43">
        <v>570</v>
      </c>
      <c r="J11" s="100"/>
      <c r="K11" s="270">
        <v>1</v>
      </c>
    </row>
    <row r="12" spans="1:11" x14ac:dyDescent="0.2">
      <c r="B12" s="2" t="s">
        <v>269</v>
      </c>
      <c r="C12" s="43">
        <v>1545</v>
      </c>
      <c r="E12" s="26">
        <v>0</v>
      </c>
      <c r="G12" s="43">
        <v>1545</v>
      </c>
      <c r="H12" s="43"/>
      <c r="I12" s="43">
        <v>0</v>
      </c>
      <c r="J12" s="100"/>
      <c r="K12" s="270">
        <f t="shared" ref="K12:K14" si="1">+(I12-G12)/G12</f>
        <v>-1</v>
      </c>
    </row>
    <row r="13" spans="1:11" x14ac:dyDescent="0.2">
      <c r="B13" s="2" t="s">
        <v>262</v>
      </c>
      <c r="C13" s="43">
        <v>34369</v>
      </c>
      <c r="E13" s="26">
        <v>28614</v>
      </c>
      <c r="G13" s="43">
        <v>34369</v>
      </c>
      <c r="H13" s="43"/>
      <c r="I13" s="43">
        <v>28600</v>
      </c>
      <c r="J13" s="100"/>
      <c r="K13" s="270">
        <f t="shared" si="1"/>
        <v>-0.16785475282958481</v>
      </c>
    </row>
    <row r="14" spans="1:11" x14ac:dyDescent="0.2">
      <c r="B14" s="2" t="s">
        <v>263</v>
      </c>
      <c r="C14" s="43">
        <v>7210</v>
      </c>
      <c r="E14" s="26">
        <v>8120.34</v>
      </c>
      <c r="G14" s="43">
        <v>14493</v>
      </c>
      <c r="H14" s="43"/>
      <c r="I14" s="43">
        <v>8120</v>
      </c>
      <c r="J14" s="100"/>
      <c r="K14" s="270">
        <f t="shared" si="1"/>
        <v>-0.43972952459808184</v>
      </c>
    </row>
    <row r="15" spans="1:11" x14ac:dyDescent="0.2">
      <c r="B15" s="2" t="s">
        <v>264</v>
      </c>
      <c r="C15" s="43">
        <v>0</v>
      </c>
      <c r="E15" s="26">
        <v>-80.05</v>
      </c>
      <c r="G15" s="43">
        <v>0</v>
      </c>
      <c r="H15" s="43"/>
      <c r="I15" s="43">
        <v>0</v>
      </c>
      <c r="J15" s="100"/>
      <c r="K15" s="270">
        <v>0</v>
      </c>
    </row>
    <row r="16" spans="1:11" x14ac:dyDescent="0.2">
      <c r="B16" s="12" t="s">
        <v>20</v>
      </c>
      <c r="C16" s="74">
        <f>SUM(C7:C15)</f>
        <v>85106</v>
      </c>
      <c r="E16" s="161">
        <f>SUM(E7:E15)</f>
        <v>86786.54</v>
      </c>
      <c r="G16" s="74">
        <f>SUM(G7:G15)</f>
        <v>89854</v>
      </c>
      <c r="H16" s="43"/>
      <c r="I16" s="74">
        <f>SUM(I7:I15)</f>
        <v>86780</v>
      </c>
      <c r="J16" s="100"/>
      <c r="K16" s="272">
        <f>+(I16-G16)/G16</f>
        <v>-3.4211053486767423E-2</v>
      </c>
    </row>
    <row r="17" spans="1:11" x14ac:dyDescent="0.2">
      <c r="B17" s="12"/>
      <c r="C17" s="43"/>
      <c r="E17" s="85"/>
      <c r="G17" s="43"/>
      <c r="H17" s="43"/>
      <c r="I17" s="43"/>
      <c r="J17" s="100"/>
      <c r="K17" s="253"/>
    </row>
    <row r="18" spans="1:11" x14ac:dyDescent="0.2">
      <c r="A18" s="2" t="s">
        <v>37</v>
      </c>
      <c r="G18" s="43"/>
      <c r="H18" s="43"/>
      <c r="I18" s="43"/>
      <c r="J18" s="100"/>
      <c r="K18" s="253"/>
    </row>
    <row r="19" spans="1:11" hidden="1" x14ac:dyDescent="0.2">
      <c r="A19" s="258"/>
      <c r="B19" s="258" t="s">
        <v>47</v>
      </c>
      <c r="C19" s="262"/>
      <c r="D19" s="263"/>
      <c r="E19" s="263"/>
      <c r="F19" s="263"/>
      <c r="G19" s="262"/>
      <c r="H19" s="262"/>
      <c r="I19" s="262"/>
      <c r="J19" s="260"/>
      <c r="K19" s="264"/>
    </row>
    <row r="20" spans="1:11" x14ac:dyDescent="0.2">
      <c r="B20" s="2" t="s">
        <v>215</v>
      </c>
      <c r="C20" s="43">
        <v>52282</v>
      </c>
      <c r="E20" s="26">
        <v>56339.93</v>
      </c>
      <c r="G20" s="43">
        <v>52909</v>
      </c>
      <c r="H20" s="43"/>
      <c r="I20" s="43">
        <f>+E20+(E20*0.03)</f>
        <v>58030.127899999999</v>
      </c>
      <c r="J20" s="100"/>
      <c r="K20" s="270">
        <f>+(I20-G20)/G20</f>
        <v>9.679124345574476E-2</v>
      </c>
    </row>
    <row r="21" spans="1:11" x14ac:dyDescent="0.2">
      <c r="B21" s="12" t="s">
        <v>23</v>
      </c>
      <c r="C21" s="74">
        <f>SUM(C19:C20)</f>
        <v>52282</v>
      </c>
      <c r="E21" s="161">
        <f>SUM(E19:E20)</f>
        <v>56339.93</v>
      </c>
      <c r="G21" s="74">
        <f>SUM(G19:G20)</f>
        <v>52909</v>
      </c>
      <c r="H21" s="43"/>
      <c r="I21" s="74">
        <f>SUM(I19:I20)</f>
        <v>58030.127899999999</v>
      </c>
      <c r="J21" s="100"/>
      <c r="K21" s="272">
        <f>+(I21-G21)/G21</f>
        <v>9.679124345574476E-2</v>
      </c>
    </row>
    <row r="22" spans="1:11" x14ac:dyDescent="0.2">
      <c r="B22" s="12"/>
      <c r="C22" s="43"/>
      <c r="E22" s="85"/>
      <c r="G22" s="43"/>
      <c r="H22" s="43"/>
      <c r="I22" s="43"/>
      <c r="J22" s="100"/>
      <c r="K22" s="253"/>
    </row>
    <row r="23" spans="1:11" x14ac:dyDescent="0.2">
      <c r="A23" s="2" t="s">
        <v>24</v>
      </c>
      <c r="G23" s="43"/>
      <c r="H23" s="43"/>
      <c r="I23" s="43"/>
      <c r="J23" s="100"/>
      <c r="K23" s="253"/>
    </row>
    <row r="24" spans="1:11" x14ac:dyDescent="0.2">
      <c r="B24" s="2" t="s">
        <v>175</v>
      </c>
      <c r="C24" s="43">
        <v>1569</v>
      </c>
      <c r="E24" s="26">
        <v>1410.57</v>
      </c>
      <c r="G24" s="43">
        <v>1879</v>
      </c>
      <c r="H24" s="43"/>
      <c r="I24" s="43">
        <f>+I20*0.03</f>
        <v>1740.9038369999998</v>
      </c>
      <c r="J24" s="100"/>
      <c r="K24" s="270">
        <f>+(I24-G24)/G24</f>
        <v>-7.3494498669505137E-2</v>
      </c>
    </row>
    <row r="25" spans="1:11" x14ac:dyDescent="0.2">
      <c r="B25" s="12" t="s">
        <v>38</v>
      </c>
      <c r="C25" s="74">
        <f>SUM(C24:C24)</f>
        <v>1569</v>
      </c>
      <c r="E25" s="161">
        <f>SUM(E24:E24)</f>
        <v>1410.57</v>
      </c>
      <c r="G25" s="74">
        <f>SUM(G24:G24)</f>
        <v>1879</v>
      </c>
      <c r="H25" s="43"/>
      <c r="I25" s="74">
        <f>SUM(I24:I24)</f>
        <v>1740.9038369999998</v>
      </c>
      <c r="J25" s="100"/>
      <c r="K25" s="272">
        <f>+(I25-G25)/G25</f>
        <v>-7.3494498669505137E-2</v>
      </c>
    </row>
    <row r="26" spans="1:11" x14ac:dyDescent="0.2">
      <c r="A26" s="2" t="s">
        <v>27</v>
      </c>
      <c r="G26" s="43"/>
      <c r="H26" s="43"/>
      <c r="I26" s="43"/>
      <c r="J26" s="100"/>
      <c r="K26" s="253"/>
    </row>
    <row r="27" spans="1:11" x14ac:dyDescent="0.2">
      <c r="B27" s="13" t="s">
        <v>270</v>
      </c>
      <c r="C27" s="43">
        <v>4596</v>
      </c>
      <c r="E27" s="26">
        <v>9627.41</v>
      </c>
      <c r="G27" s="43">
        <v>4596</v>
      </c>
      <c r="H27" s="43"/>
      <c r="I27" s="43">
        <v>5688</v>
      </c>
      <c r="J27" s="100"/>
      <c r="K27" s="270">
        <f t="shared" ref="K27:K33" si="2">+(I27-G27)/G27</f>
        <v>0.23759791122715404</v>
      </c>
    </row>
    <row r="28" spans="1:11" x14ac:dyDescent="0.2">
      <c r="B28" s="13" t="s">
        <v>271</v>
      </c>
      <c r="C28" s="43">
        <v>6829</v>
      </c>
      <c r="E28" s="26">
        <v>305</v>
      </c>
      <c r="G28" s="43">
        <v>7842</v>
      </c>
      <c r="H28" s="43"/>
      <c r="I28" s="43">
        <v>7842</v>
      </c>
      <c r="J28" s="100"/>
      <c r="K28" s="270">
        <f t="shared" si="2"/>
        <v>0</v>
      </c>
    </row>
    <row r="29" spans="1:11" x14ac:dyDescent="0.2">
      <c r="B29" s="2" t="s">
        <v>230</v>
      </c>
      <c r="C29" s="43">
        <v>3000</v>
      </c>
      <c r="E29" s="26">
        <v>3596.45</v>
      </c>
      <c r="G29" s="43">
        <v>3462</v>
      </c>
      <c r="H29" s="43"/>
      <c r="I29" s="43">
        <v>3596</v>
      </c>
      <c r="J29" s="100"/>
      <c r="K29" s="270">
        <f t="shared" si="2"/>
        <v>3.870595031773541E-2</v>
      </c>
    </row>
    <row r="30" spans="1:11" x14ac:dyDescent="0.2">
      <c r="B30" s="13" t="s">
        <v>272</v>
      </c>
      <c r="C30" s="43">
        <v>500</v>
      </c>
      <c r="E30" s="26">
        <v>343.5</v>
      </c>
      <c r="G30" s="43">
        <v>500</v>
      </c>
      <c r="H30" s="43"/>
      <c r="I30" s="43">
        <v>500</v>
      </c>
      <c r="J30" s="100"/>
      <c r="K30" s="270">
        <f t="shared" si="2"/>
        <v>0</v>
      </c>
    </row>
    <row r="31" spans="1:11" x14ac:dyDescent="0.2">
      <c r="B31" s="13" t="s">
        <v>273</v>
      </c>
      <c r="C31" s="43">
        <v>530</v>
      </c>
      <c r="E31" s="26">
        <v>491.45</v>
      </c>
      <c r="G31" s="43">
        <v>530</v>
      </c>
      <c r="H31" s="43"/>
      <c r="I31" s="43">
        <v>530</v>
      </c>
      <c r="J31" s="100"/>
      <c r="K31" s="270">
        <f t="shared" si="2"/>
        <v>0</v>
      </c>
    </row>
    <row r="32" spans="1:11" x14ac:dyDescent="0.2">
      <c r="B32" s="13" t="s">
        <v>183</v>
      </c>
      <c r="C32" s="43">
        <v>1020</v>
      </c>
      <c r="E32" s="26">
        <v>950</v>
      </c>
      <c r="G32" s="43">
        <v>1020</v>
      </c>
      <c r="H32" s="43"/>
      <c r="I32" s="43">
        <v>1020</v>
      </c>
      <c r="J32" s="100"/>
      <c r="K32" s="270">
        <f t="shared" si="2"/>
        <v>0</v>
      </c>
    </row>
    <row r="33" spans="2:11" x14ac:dyDescent="0.2">
      <c r="B33" s="13" t="s">
        <v>274</v>
      </c>
      <c r="C33" s="43">
        <v>1000</v>
      </c>
      <c r="E33" s="26">
        <v>1175.05</v>
      </c>
      <c r="G33" s="43">
        <v>1000</v>
      </c>
      <c r="H33" s="43"/>
      <c r="I33" s="43">
        <v>1176</v>
      </c>
      <c r="J33" s="100"/>
      <c r="K33" s="270">
        <f t="shared" si="2"/>
        <v>0.17599999999999999</v>
      </c>
    </row>
    <row r="34" spans="2:11" x14ac:dyDescent="0.2">
      <c r="B34" s="2" t="s">
        <v>104</v>
      </c>
      <c r="C34" s="43"/>
      <c r="G34" s="43"/>
      <c r="H34" s="43"/>
      <c r="I34" s="43"/>
      <c r="J34" s="100"/>
      <c r="K34" s="270"/>
    </row>
    <row r="35" spans="2:11" hidden="1" x14ac:dyDescent="0.2">
      <c r="B35" s="2" t="s">
        <v>51</v>
      </c>
      <c r="G35" s="43"/>
      <c r="H35" s="43"/>
      <c r="I35" s="43"/>
      <c r="J35" s="100"/>
      <c r="K35" s="270"/>
    </row>
    <row r="36" spans="2:11" x14ac:dyDescent="0.2">
      <c r="B36" s="12" t="s">
        <v>76</v>
      </c>
      <c r="C36" s="74">
        <f>SUM(C27:C35)</f>
        <v>17475</v>
      </c>
      <c r="E36" s="161">
        <f>SUM(E27:E35)</f>
        <v>16488.86</v>
      </c>
      <c r="G36" s="74">
        <f>SUM(G27:G35)</f>
        <v>18950</v>
      </c>
      <c r="H36" s="43"/>
      <c r="I36" s="74">
        <f>SUM(I27:I35)</f>
        <v>20352</v>
      </c>
      <c r="J36" s="100"/>
      <c r="K36" s="272">
        <f>+(I36-G36)/G36</f>
        <v>7.3984168865435351E-2</v>
      </c>
    </row>
    <row r="37" spans="2:11" x14ac:dyDescent="0.2">
      <c r="G37" s="43"/>
      <c r="H37" s="43"/>
      <c r="I37" s="43"/>
      <c r="J37" s="100"/>
      <c r="K37" s="270"/>
    </row>
    <row r="38" spans="2:11" x14ac:dyDescent="0.2">
      <c r="B38" s="2" t="s">
        <v>33</v>
      </c>
      <c r="C38" s="75">
        <f>SUM(C21+C25+C36)</f>
        <v>71326</v>
      </c>
      <c r="E38" s="162">
        <f>SUM(E21+E25+E36)</f>
        <v>74239.360000000001</v>
      </c>
      <c r="G38" s="75">
        <f>SUM(G21+G25+G36)</f>
        <v>73738</v>
      </c>
      <c r="H38" s="43"/>
      <c r="I38" s="75">
        <f>SUM(I21+I25+I36)</f>
        <v>80123.031736999998</v>
      </c>
      <c r="J38" s="100"/>
      <c r="K38" s="274">
        <f t="shared" ref="K38" si="3">+(I38-G38)/G38</f>
        <v>8.6590790867666564E-2</v>
      </c>
    </row>
    <row r="39" spans="2:11" x14ac:dyDescent="0.2">
      <c r="G39" s="43"/>
      <c r="H39" s="43"/>
      <c r="I39" s="43"/>
      <c r="J39" s="100"/>
      <c r="K39" s="270"/>
    </row>
    <row r="40" spans="2:11" ht="13.5" thickBot="1" x14ac:dyDescent="0.25">
      <c r="B40" s="2" t="s">
        <v>52</v>
      </c>
      <c r="C40" s="224">
        <f>SUM(C16-C21-C25-C36)</f>
        <v>13780</v>
      </c>
      <c r="E40" s="225">
        <f>SUM(E16-E21-E25-E36)</f>
        <v>12547.179999999993</v>
      </c>
      <c r="G40" s="224">
        <f>SUM(G16-G21-G25-G36)</f>
        <v>16116</v>
      </c>
      <c r="H40" s="43"/>
      <c r="I40" s="224">
        <f>SUM(I16-I21-I25-I36)</f>
        <v>6656.9682630000025</v>
      </c>
      <c r="J40" s="100"/>
      <c r="K40" s="277">
        <f t="shared" ref="K40" si="4">+(I40-G40)/G40</f>
        <v>-0.58693421053611305</v>
      </c>
    </row>
    <row r="41" spans="2:11" ht="13.5" thickTop="1" x14ac:dyDescent="0.2">
      <c r="G41" s="43"/>
      <c r="H41" s="43"/>
      <c r="I41" s="43"/>
    </row>
    <row r="42" spans="2:11" x14ac:dyDescent="0.2">
      <c r="B42" s="12"/>
    </row>
    <row r="43" spans="2:11" x14ac:dyDescent="0.2">
      <c r="B43" s="12"/>
      <c r="C43" s="44"/>
      <c r="D43" s="44"/>
      <c r="E43" s="44"/>
      <c r="F43" s="44"/>
    </row>
    <row r="44" spans="2:11" x14ac:dyDescent="0.2">
      <c r="B44" s="37"/>
      <c r="C44" s="37"/>
      <c r="D44" s="37"/>
      <c r="E44" s="37"/>
      <c r="F44" s="37"/>
      <c r="G44" s="37"/>
      <c r="H44" s="37"/>
      <c r="I44" s="37"/>
    </row>
    <row r="45" spans="2:11" x14ac:dyDescent="0.2">
      <c r="B45" s="37"/>
      <c r="C45" s="37"/>
      <c r="D45" s="37"/>
      <c r="E45" s="37"/>
      <c r="F45" s="37"/>
      <c r="G45" s="37"/>
      <c r="H45" s="37"/>
      <c r="I45" s="37"/>
    </row>
    <row r="46" spans="2:11" x14ac:dyDescent="0.2">
      <c r="B46"/>
      <c r="C46"/>
      <c r="D46"/>
      <c r="E46"/>
      <c r="F46"/>
      <c r="G46"/>
      <c r="H46"/>
      <c r="I46"/>
    </row>
    <row r="47" spans="2:11" x14ac:dyDescent="0.2">
      <c r="B47"/>
      <c r="C47"/>
      <c r="D47"/>
      <c r="E47"/>
      <c r="F47"/>
      <c r="G47"/>
      <c r="H47"/>
      <c r="I47"/>
    </row>
    <row r="48" spans="2:11" x14ac:dyDescent="0.2">
      <c r="B48"/>
      <c r="C48"/>
      <c r="D48"/>
      <c r="E48"/>
      <c r="F48"/>
      <c r="G48"/>
      <c r="H48"/>
      <c r="I48"/>
    </row>
    <row r="49" spans="2:9" x14ac:dyDescent="0.2">
      <c r="B49"/>
      <c r="C49"/>
      <c r="D49"/>
      <c r="E49"/>
      <c r="F49"/>
      <c r="G49"/>
      <c r="H49"/>
      <c r="I49"/>
    </row>
    <row r="50" spans="2:9" x14ac:dyDescent="0.2">
      <c r="B50"/>
      <c r="C50"/>
      <c r="D50"/>
      <c r="E50"/>
      <c r="F50"/>
      <c r="G50"/>
      <c r="H50"/>
      <c r="I50"/>
    </row>
    <row r="51" spans="2:9" x14ac:dyDescent="0.2">
      <c r="B51"/>
      <c r="C51"/>
      <c r="D51"/>
      <c r="E51"/>
      <c r="F51"/>
      <c r="G51"/>
      <c r="H51"/>
      <c r="I51"/>
    </row>
    <row r="52" spans="2:9" x14ac:dyDescent="0.2">
      <c r="B52"/>
      <c r="C52"/>
      <c r="D52"/>
      <c r="E52"/>
      <c r="F52"/>
      <c r="G52"/>
      <c r="H52"/>
      <c r="I52"/>
    </row>
    <row r="53" spans="2:9" x14ac:dyDescent="0.2">
      <c r="B53"/>
      <c r="C53"/>
      <c r="D53"/>
      <c r="E53"/>
      <c r="F53"/>
      <c r="G53"/>
      <c r="H53"/>
      <c r="I53"/>
    </row>
    <row r="54" spans="2:9" x14ac:dyDescent="0.2">
      <c r="B54"/>
      <c r="C54"/>
      <c r="D54"/>
      <c r="E54"/>
      <c r="F54"/>
      <c r="G54"/>
      <c r="H54"/>
      <c r="I54"/>
    </row>
    <row r="55" spans="2:9" x14ac:dyDescent="0.2">
      <c r="B55"/>
      <c r="C55"/>
      <c r="D55"/>
      <c r="E55"/>
      <c r="F55"/>
      <c r="G55"/>
      <c r="H55"/>
      <c r="I55"/>
    </row>
  </sheetData>
  <mergeCells count="1">
    <mergeCell ref="A1:K1"/>
  </mergeCells>
  <phoneticPr fontId="0" type="noConversion"/>
  <pageMargins left="0" right="0" top="0" bottom="0" header="0" footer="0"/>
  <pageSetup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7</vt:i4>
      </vt:variant>
    </vt:vector>
  </HeadingPairs>
  <TitlesOfParts>
    <vt:vector size="24" baseType="lpstr">
      <vt:lpstr>cover</vt:lpstr>
      <vt:lpstr>munadm</vt:lpstr>
      <vt:lpstr>munbld</vt:lpstr>
      <vt:lpstr>munavs</vt:lpstr>
      <vt:lpstr>munfac</vt:lpstr>
      <vt:lpstr>munrep</vt:lpstr>
      <vt:lpstr>muncus</vt:lpstr>
      <vt:lpstr>munest</vt:lpstr>
      <vt:lpstr>munlan</vt:lpstr>
      <vt:lpstr>muncra</vt:lpstr>
      <vt:lpstr>mun72f</vt:lpstr>
      <vt:lpstr>MUNMAA</vt:lpstr>
      <vt:lpstr>mun99F</vt:lpstr>
      <vt:lpstr>muntec</vt:lpstr>
      <vt:lpstr>munpub</vt:lpstr>
      <vt:lpstr>MSLI</vt:lpstr>
      <vt:lpstr>MURFS</vt:lpstr>
      <vt:lpstr>cover!Print_Area</vt:lpstr>
      <vt:lpstr>MSLI!Print_Area</vt:lpstr>
      <vt:lpstr>munbld!Print_Area</vt:lpstr>
      <vt:lpstr>munfac!Print_Area</vt:lpstr>
      <vt:lpstr>munpub!Print_Area</vt:lpstr>
      <vt:lpstr>munrep!Print_Area</vt:lpstr>
      <vt:lpstr>MURFS!Print_Area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Guthrie, Shannon</dc:creator>
  <cp:lastModifiedBy>creightonj</cp:lastModifiedBy>
  <cp:lastPrinted>2012-02-02T03:45:35Z</cp:lastPrinted>
  <dcterms:created xsi:type="dcterms:W3CDTF">1997-01-25T23:41:44Z</dcterms:created>
  <dcterms:modified xsi:type="dcterms:W3CDTF">2012-02-02T03:47:46Z</dcterms:modified>
</cp:coreProperties>
</file>