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780" yWindow="180" windowWidth="25620" windowHeight="17540" tabRatio="500"/>
  </bookViews>
  <sheets>
    <sheet name="MAIN" sheetId="1" r:id="rId1"/>
    <sheet name="INSTRUCTIONS"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67" i="1" l="1"/>
  <c r="I67" i="1"/>
  <c r="K67" i="1"/>
  <c r="H67" i="1"/>
  <c r="B67" i="1"/>
  <c r="D97" i="1"/>
  <c r="I97" i="1"/>
  <c r="K97" i="1"/>
  <c r="F97" i="1"/>
  <c r="E97" i="1"/>
  <c r="H97" i="1"/>
  <c r="B97" i="1"/>
  <c r="D96" i="1"/>
  <c r="I96" i="1"/>
  <c r="K96" i="1"/>
  <c r="F96" i="1"/>
  <c r="E96" i="1"/>
  <c r="H96" i="1"/>
  <c r="B96" i="1"/>
  <c r="D128" i="1"/>
  <c r="I128" i="1"/>
  <c r="K128" i="1"/>
  <c r="H128" i="1"/>
  <c r="B128" i="1"/>
  <c r="D129" i="1"/>
  <c r="I129" i="1"/>
  <c r="K129" i="1"/>
  <c r="H129" i="1"/>
  <c r="B129" i="1"/>
  <c r="D127" i="1"/>
  <c r="I127" i="1"/>
  <c r="K127" i="1"/>
  <c r="H127" i="1"/>
  <c r="G127" i="1"/>
  <c r="B127" i="1"/>
  <c r="D125" i="1"/>
  <c r="I125" i="1"/>
  <c r="K125" i="1"/>
  <c r="H125" i="1"/>
  <c r="B125" i="1"/>
  <c r="F61" i="1"/>
  <c r="E61" i="1"/>
  <c r="D61" i="1"/>
  <c r="D126" i="1"/>
  <c r="E126" i="1"/>
  <c r="F126" i="1"/>
  <c r="B126" i="1"/>
  <c r="B124" i="1"/>
  <c r="D123" i="1"/>
  <c r="E123" i="1"/>
  <c r="F123" i="1"/>
  <c r="B123" i="1"/>
  <c r="D122" i="1"/>
  <c r="E122" i="1"/>
  <c r="F122" i="1"/>
  <c r="B122" i="1"/>
  <c r="B121" i="1"/>
  <c r="D120" i="1"/>
  <c r="E120" i="1"/>
  <c r="F120" i="1"/>
  <c r="B120" i="1"/>
  <c r="D119" i="1"/>
  <c r="B119" i="1"/>
  <c r="D118" i="1"/>
  <c r="B118" i="1"/>
  <c r="D113" i="1"/>
  <c r="E113" i="1"/>
  <c r="F113" i="1"/>
  <c r="B113" i="1"/>
  <c r="D112" i="1"/>
  <c r="E112" i="1"/>
  <c r="F112" i="1"/>
  <c r="B112" i="1"/>
  <c r="D111" i="1"/>
  <c r="B111" i="1"/>
  <c r="D110" i="1"/>
  <c r="B110" i="1"/>
  <c r="D109" i="1"/>
  <c r="B109" i="1"/>
  <c r="B108" i="1"/>
  <c r="D107" i="1"/>
  <c r="E107" i="1"/>
  <c r="F107" i="1"/>
  <c r="B107" i="1"/>
  <c r="E106" i="1"/>
  <c r="F106" i="1"/>
  <c r="B106" i="1"/>
  <c r="B105" i="1"/>
  <c r="B104" i="1"/>
  <c r="D103" i="1"/>
  <c r="B103" i="1"/>
  <c r="D102" i="1"/>
  <c r="E102" i="1"/>
  <c r="F102" i="1"/>
  <c r="B102" i="1"/>
  <c r="D101" i="1"/>
  <c r="E101" i="1"/>
  <c r="F101" i="1"/>
  <c r="B101" i="1"/>
  <c r="D100" i="1"/>
  <c r="E100" i="1"/>
  <c r="F100" i="1"/>
  <c r="B100" i="1"/>
  <c r="D99" i="1"/>
  <c r="E99" i="1"/>
  <c r="F99" i="1"/>
  <c r="B99" i="1"/>
  <c r="D98" i="1"/>
  <c r="E98" i="1"/>
  <c r="F98" i="1"/>
  <c r="B98" i="1"/>
  <c r="D95" i="1"/>
  <c r="E95" i="1"/>
  <c r="F95" i="1"/>
  <c r="B95" i="1"/>
  <c r="B94" i="1"/>
  <c r="D93" i="1"/>
  <c r="E93" i="1"/>
  <c r="F93" i="1"/>
  <c r="B93" i="1"/>
  <c r="D92" i="1"/>
  <c r="B92" i="1"/>
  <c r="D91" i="1"/>
  <c r="E91" i="1"/>
  <c r="F91" i="1"/>
  <c r="B91" i="1"/>
  <c r="D90" i="1"/>
  <c r="B90" i="1"/>
  <c r="D89" i="1"/>
  <c r="B89" i="1"/>
  <c r="D88" i="1"/>
  <c r="B88" i="1"/>
  <c r="D87" i="1"/>
  <c r="B87" i="1"/>
  <c r="D86" i="1"/>
  <c r="E86" i="1"/>
  <c r="F86" i="1"/>
  <c r="B86" i="1"/>
  <c r="D81" i="1"/>
  <c r="B81" i="1"/>
  <c r="D80" i="1"/>
  <c r="B80" i="1"/>
  <c r="D79" i="1"/>
  <c r="B79" i="1"/>
  <c r="D78" i="1"/>
  <c r="E78" i="1"/>
  <c r="F78" i="1"/>
  <c r="B78" i="1"/>
  <c r="D77" i="1"/>
  <c r="B77" i="1"/>
  <c r="D76" i="1"/>
  <c r="B76" i="1"/>
  <c r="D75" i="1"/>
  <c r="B75" i="1"/>
  <c r="D74" i="1"/>
  <c r="E74" i="1"/>
  <c r="F74" i="1"/>
  <c r="B74" i="1"/>
  <c r="B73" i="1"/>
  <c r="D72" i="1"/>
  <c r="E72" i="1"/>
  <c r="F72" i="1"/>
  <c r="B72" i="1"/>
  <c r="D71" i="1"/>
  <c r="E71" i="1"/>
  <c r="F71" i="1"/>
  <c r="B71" i="1"/>
  <c r="D70" i="1"/>
  <c r="E70" i="1"/>
  <c r="F70" i="1"/>
  <c r="B70" i="1"/>
  <c r="B69" i="1"/>
  <c r="D68" i="1"/>
  <c r="E68" i="1"/>
  <c r="F68" i="1"/>
  <c r="B68" i="1"/>
  <c r="D66" i="1"/>
  <c r="B66" i="1"/>
  <c r="B61" i="1"/>
  <c r="B60" i="1"/>
  <c r="D59" i="1"/>
  <c r="B59" i="1"/>
  <c r="D58" i="1"/>
  <c r="E58" i="1"/>
  <c r="F58" i="1"/>
  <c r="B58" i="1"/>
  <c r="D57" i="1"/>
  <c r="B57" i="1"/>
  <c r="D56" i="1"/>
  <c r="B56" i="1"/>
  <c r="D55" i="1"/>
  <c r="E55" i="1"/>
  <c r="F55" i="1"/>
  <c r="B55" i="1"/>
  <c r="D54" i="1"/>
  <c r="B54" i="1"/>
  <c r="D53" i="1"/>
  <c r="B53" i="1"/>
  <c r="D52" i="1"/>
  <c r="E52" i="1"/>
  <c r="F52" i="1"/>
  <c r="B52" i="1"/>
  <c r="D51" i="1"/>
  <c r="B51" i="1"/>
  <c r="E50" i="1"/>
  <c r="F50" i="1"/>
  <c r="B50" i="1"/>
  <c r="B49" i="1"/>
  <c r="D48" i="1"/>
  <c r="E48" i="1"/>
  <c r="F48" i="1"/>
  <c r="B48" i="1"/>
  <c r="D47" i="1"/>
  <c r="E47" i="1"/>
  <c r="F47" i="1"/>
  <c r="B47" i="1"/>
  <c r="D46" i="1"/>
  <c r="E46" i="1"/>
  <c r="F46" i="1"/>
  <c r="B46" i="1"/>
  <c r="D45" i="1"/>
  <c r="E45" i="1"/>
  <c r="F45" i="1"/>
  <c r="B45" i="1"/>
  <c r="B44" i="1"/>
  <c r="D43" i="1"/>
  <c r="E43" i="1"/>
  <c r="F43" i="1"/>
  <c r="B43" i="1"/>
  <c r="D42" i="1"/>
  <c r="E42" i="1"/>
  <c r="F42" i="1"/>
  <c r="B42" i="1"/>
  <c r="B41" i="1"/>
  <c r="D40" i="1"/>
  <c r="E40" i="1"/>
  <c r="F40" i="1"/>
  <c r="B40" i="1"/>
  <c r="D39" i="1"/>
  <c r="E39" i="1"/>
  <c r="F39" i="1"/>
  <c r="B39" i="1"/>
  <c r="D38" i="1"/>
  <c r="B38" i="1"/>
  <c r="D37" i="1"/>
  <c r="B37" i="1"/>
  <c r="D32" i="1"/>
  <c r="B32" i="1"/>
  <c r="D31" i="1"/>
  <c r="B31" i="1"/>
  <c r="D30" i="1"/>
  <c r="E30" i="1"/>
  <c r="F30" i="1"/>
  <c r="B30" i="1"/>
  <c r="D29" i="1"/>
  <c r="E29" i="1"/>
  <c r="F29" i="1"/>
  <c r="B29" i="1"/>
  <c r="B28" i="1"/>
  <c r="D27" i="1"/>
  <c r="E27" i="1"/>
  <c r="F27" i="1"/>
  <c r="B27" i="1"/>
  <c r="B26" i="1"/>
  <c r="D25" i="1"/>
  <c r="E25" i="1"/>
  <c r="F25" i="1"/>
  <c r="B25" i="1"/>
  <c r="D24" i="1"/>
  <c r="B24" i="1"/>
  <c r="D19" i="1"/>
  <c r="B19" i="1"/>
  <c r="D18" i="1"/>
  <c r="B18" i="1"/>
  <c r="D17" i="1"/>
  <c r="E17" i="1"/>
  <c r="F17" i="1"/>
  <c r="B17" i="1"/>
  <c r="D16" i="1"/>
  <c r="E16" i="1"/>
  <c r="F16" i="1"/>
  <c r="B16" i="1"/>
  <c r="B15" i="1"/>
  <c r="D14" i="1"/>
  <c r="E14" i="1"/>
  <c r="F14" i="1"/>
  <c r="B14" i="1"/>
  <c r="D13" i="1"/>
  <c r="E13" i="1"/>
  <c r="F13" i="1"/>
  <c r="B13" i="1"/>
  <c r="D12" i="1"/>
  <c r="E12" i="1"/>
  <c r="F12" i="1"/>
  <c r="B12" i="1"/>
  <c r="B11" i="1"/>
  <c r="D10" i="1"/>
  <c r="E10" i="1"/>
  <c r="F10" i="1"/>
  <c r="B10" i="1"/>
  <c r="D9" i="1"/>
  <c r="B9" i="1"/>
  <c r="J20" i="1"/>
  <c r="J21" i="1"/>
  <c r="J33" i="1"/>
  <c r="J34" i="1"/>
  <c r="J62" i="1"/>
  <c r="J63" i="1"/>
  <c r="J82" i="1"/>
  <c r="J83" i="1"/>
  <c r="J114" i="1"/>
  <c r="J115" i="1"/>
  <c r="J130" i="1"/>
  <c r="J131" i="1"/>
  <c r="I126" i="1"/>
  <c r="K126" i="1"/>
  <c r="H126" i="1"/>
  <c r="G126" i="1"/>
  <c r="I124" i="1"/>
  <c r="K124" i="1"/>
  <c r="H124" i="1"/>
  <c r="I123" i="1"/>
  <c r="K123" i="1"/>
  <c r="H123" i="1"/>
  <c r="G123" i="1"/>
  <c r="I122" i="1"/>
  <c r="K122" i="1"/>
  <c r="H122" i="1"/>
  <c r="G122" i="1"/>
  <c r="I121" i="1"/>
  <c r="K121" i="1"/>
  <c r="H121" i="1"/>
  <c r="I120" i="1"/>
  <c r="K120" i="1"/>
  <c r="H120" i="1"/>
  <c r="G120" i="1"/>
  <c r="I119" i="1"/>
  <c r="K119" i="1"/>
  <c r="H119" i="1"/>
  <c r="I118" i="1"/>
  <c r="K118" i="1"/>
  <c r="H118" i="1"/>
  <c r="G118" i="1"/>
  <c r="I113" i="1"/>
  <c r="K113" i="1"/>
  <c r="H113" i="1"/>
  <c r="G113" i="1"/>
  <c r="I112" i="1"/>
  <c r="K112" i="1"/>
  <c r="H112" i="1"/>
  <c r="G112" i="1"/>
  <c r="I111" i="1"/>
  <c r="K111" i="1"/>
  <c r="H111" i="1"/>
  <c r="I110" i="1"/>
  <c r="K110" i="1"/>
  <c r="H110" i="1"/>
  <c r="I109" i="1"/>
  <c r="K109" i="1"/>
  <c r="H109" i="1"/>
  <c r="G109" i="1"/>
  <c r="I108" i="1"/>
  <c r="K108" i="1"/>
  <c r="H108" i="1"/>
  <c r="I107" i="1"/>
  <c r="K107" i="1"/>
  <c r="H107" i="1"/>
  <c r="G107" i="1"/>
  <c r="I106" i="1"/>
  <c r="K106" i="1"/>
  <c r="H106" i="1"/>
  <c r="I105" i="1"/>
  <c r="K105" i="1"/>
  <c r="H105" i="1"/>
  <c r="G105" i="1"/>
  <c r="I104" i="1"/>
  <c r="K104" i="1"/>
  <c r="H104" i="1"/>
  <c r="I103" i="1"/>
  <c r="K103" i="1"/>
  <c r="H103" i="1"/>
  <c r="I102" i="1"/>
  <c r="K102" i="1"/>
  <c r="H102" i="1"/>
  <c r="I101" i="1"/>
  <c r="K101" i="1"/>
  <c r="H101" i="1"/>
  <c r="G101" i="1"/>
  <c r="I100" i="1"/>
  <c r="K100" i="1"/>
  <c r="H100" i="1"/>
  <c r="G100" i="1"/>
  <c r="I99" i="1"/>
  <c r="K99" i="1"/>
  <c r="H99" i="1"/>
  <c r="G99" i="1"/>
  <c r="I98" i="1"/>
  <c r="K98" i="1"/>
  <c r="H98" i="1"/>
  <c r="G98" i="1"/>
  <c r="I95" i="1"/>
  <c r="K95" i="1"/>
  <c r="H95" i="1"/>
  <c r="G95" i="1"/>
  <c r="I94" i="1"/>
  <c r="K94" i="1"/>
  <c r="H94" i="1"/>
  <c r="I93" i="1"/>
  <c r="K93" i="1"/>
  <c r="H93" i="1"/>
  <c r="G93" i="1"/>
  <c r="I92" i="1"/>
  <c r="K92" i="1"/>
  <c r="H92" i="1"/>
  <c r="I91" i="1"/>
  <c r="K91" i="1"/>
  <c r="H91" i="1"/>
  <c r="G91" i="1"/>
  <c r="I90" i="1"/>
  <c r="K90" i="1"/>
  <c r="H90" i="1"/>
  <c r="G90" i="1"/>
  <c r="I89" i="1"/>
  <c r="K89" i="1"/>
  <c r="H89" i="1"/>
  <c r="G89" i="1"/>
  <c r="I88" i="1"/>
  <c r="K88" i="1"/>
  <c r="H88" i="1"/>
  <c r="I87" i="1"/>
  <c r="K87" i="1"/>
  <c r="H87" i="1"/>
  <c r="I86" i="1"/>
  <c r="K86" i="1"/>
  <c r="H86" i="1"/>
  <c r="I81" i="1"/>
  <c r="K81" i="1"/>
  <c r="H81" i="1"/>
  <c r="I80" i="1"/>
  <c r="K80" i="1"/>
  <c r="H80" i="1"/>
  <c r="I79" i="1"/>
  <c r="K79" i="1"/>
  <c r="H79" i="1"/>
  <c r="G79" i="1"/>
  <c r="I78" i="1"/>
  <c r="K78" i="1"/>
  <c r="H78" i="1"/>
  <c r="G78" i="1"/>
  <c r="I77" i="1"/>
  <c r="K77" i="1"/>
  <c r="H77" i="1"/>
  <c r="I76" i="1"/>
  <c r="K76" i="1"/>
  <c r="H76" i="1"/>
  <c r="I75" i="1"/>
  <c r="K75" i="1"/>
  <c r="H75" i="1"/>
  <c r="I74" i="1"/>
  <c r="K74" i="1"/>
  <c r="H74" i="1"/>
  <c r="G74" i="1"/>
  <c r="I73" i="1"/>
  <c r="K73" i="1"/>
  <c r="H73" i="1"/>
  <c r="I72" i="1"/>
  <c r="K72" i="1"/>
  <c r="H72" i="1"/>
  <c r="G72" i="1"/>
  <c r="I71" i="1"/>
  <c r="K71" i="1"/>
  <c r="H71" i="1"/>
  <c r="G71" i="1"/>
  <c r="I70" i="1"/>
  <c r="K70" i="1"/>
  <c r="H70" i="1"/>
  <c r="G70" i="1"/>
  <c r="I69" i="1"/>
  <c r="K69" i="1"/>
  <c r="H69" i="1"/>
  <c r="I68" i="1"/>
  <c r="K68" i="1"/>
  <c r="H68" i="1"/>
  <c r="G68" i="1"/>
  <c r="I66" i="1"/>
  <c r="K66" i="1"/>
  <c r="H66" i="1"/>
  <c r="G66" i="1"/>
  <c r="I61" i="1"/>
  <c r="K61" i="1"/>
  <c r="H61" i="1"/>
  <c r="I60" i="1"/>
  <c r="K60" i="1"/>
  <c r="H60" i="1"/>
  <c r="I59" i="1"/>
  <c r="K59" i="1"/>
  <c r="H59" i="1"/>
  <c r="I58" i="1"/>
  <c r="K58" i="1"/>
  <c r="H58" i="1"/>
  <c r="G58" i="1"/>
  <c r="I57" i="1"/>
  <c r="K57" i="1"/>
  <c r="H57" i="1"/>
  <c r="G57" i="1"/>
  <c r="I56" i="1"/>
  <c r="K56" i="1"/>
  <c r="H56" i="1"/>
  <c r="I55" i="1"/>
  <c r="K55" i="1"/>
  <c r="H55" i="1"/>
  <c r="G55" i="1"/>
  <c r="I54" i="1"/>
  <c r="K54" i="1"/>
  <c r="H54" i="1"/>
  <c r="I53" i="1"/>
  <c r="K53" i="1"/>
  <c r="H53" i="1"/>
  <c r="G53" i="1"/>
  <c r="I52" i="1"/>
  <c r="K52" i="1"/>
  <c r="H52" i="1"/>
  <c r="G52" i="1"/>
  <c r="I51" i="1"/>
  <c r="K51" i="1"/>
  <c r="H51" i="1"/>
  <c r="I50" i="1"/>
  <c r="K50" i="1"/>
  <c r="H50" i="1"/>
  <c r="I49" i="1"/>
  <c r="K49" i="1"/>
  <c r="H49" i="1"/>
  <c r="G49" i="1"/>
  <c r="I48" i="1"/>
  <c r="K48" i="1"/>
  <c r="H48" i="1"/>
  <c r="G48" i="1"/>
  <c r="I47" i="1"/>
  <c r="K47" i="1"/>
  <c r="H47" i="1"/>
  <c r="I46" i="1"/>
  <c r="K46" i="1"/>
  <c r="H46" i="1"/>
  <c r="G46" i="1"/>
  <c r="I45" i="1"/>
  <c r="K45" i="1"/>
  <c r="H45" i="1"/>
  <c r="G45" i="1"/>
  <c r="L44" i="1"/>
  <c r="I44" i="1"/>
  <c r="K44" i="1"/>
  <c r="H44" i="1"/>
  <c r="I43" i="1"/>
  <c r="K43" i="1"/>
  <c r="H43" i="1"/>
  <c r="G43" i="1"/>
  <c r="I42" i="1"/>
  <c r="K42" i="1"/>
  <c r="H42" i="1"/>
  <c r="G42" i="1"/>
  <c r="I41" i="1"/>
  <c r="K41" i="1"/>
  <c r="H41" i="1"/>
  <c r="I40" i="1"/>
  <c r="K40" i="1"/>
  <c r="H40" i="1"/>
  <c r="G40" i="1"/>
  <c r="I39" i="1"/>
  <c r="K39" i="1"/>
  <c r="H39" i="1"/>
  <c r="G39" i="1"/>
  <c r="I38" i="1"/>
  <c r="K38" i="1"/>
  <c r="H38" i="1"/>
  <c r="I37" i="1"/>
  <c r="K37" i="1"/>
  <c r="H37" i="1"/>
  <c r="G37" i="1"/>
  <c r="I32" i="1"/>
  <c r="K32" i="1"/>
  <c r="H32" i="1"/>
  <c r="I31" i="1"/>
  <c r="K31" i="1"/>
  <c r="H31" i="1"/>
  <c r="G31" i="1"/>
  <c r="I30" i="1"/>
  <c r="K30" i="1"/>
  <c r="H30" i="1"/>
  <c r="G30" i="1"/>
  <c r="I29" i="1"/>
  <c r="K29" i="1"/>
  <c r="H29" i="1"/>
  <c r="G29" i="1"/>
  <c r="I28" i="1"/>
  <c r="K28" i="1"/>
  <c r="H28" i="1"/>
  <c r="I27" i="1"/>
  <c r="K27" i="1"/>
  <c r="H27" i="1"/>
  <c r="G27" i="1"/>
  <c r="I26" i="1"/>
  <c r="K26" i="1"/>
  <c r="H26" i="1"/>
  <c r="I25" i="1"/>
  <c r="K25" i="1"/>
  <c r="H25" i="1"/>
  <c r="G25" i="1"/>
  <c r="I24" i="1"/>
  <c r="K24" i="1"/>
  <c r="H24" i="1"/>
  <c r="G24" i="1"/>
  <c r="I19" i="1"/>
  <c r="K19" i="1"/>
  <c r="H19" i="1"/>
  <c r="I18" i="1"/>
  <c r="K18" i="1"/>
  <c r="H18" i="1"/>
  <c r="G18" i="1"/>
  <c r="I17" i="1"/>
  <c r="K17" i="1"/>
  <c r="H17" i="1"/>
  <c r="G17" i="1"/>
  <c r="I16" i="1"/>
  <c r="K16" i="1"/>
  <c r="H16" i="1"/>
  <c r="G16" i="1"/>
  <c r="I15" i="1"/>
  <c r="K15" i="1"/>
  <c r="H15" i="1"/>
  <c r="I14" i="1"/>
  <c r="K14" i="1"/>
  <c r="H14" i="1"/>
  <c r="G14" i="1"/>
  <c r="I13" i="1"/>
  <c r="K13" i="1"/>
  <c r="H13" i="1"/>
  <c r="G13" i="1"/>
  <c r="I12" i="1"/>
  <c r="K12" i="1"/>
  <c r="H12" i="1"/>
  <c r="G12" i="1"/>
  <c r="I11" i="1"/>
  <c r="K11" i="1"/>
  <c r="H11" i="1"/>
  <c r="I10" i="1"/>
  <c r="K10" i="1"/>
  <c r="H10" i="1"/>
  <c r="G10" i="1"/>
  <c r="I9" i="1"/>
  <c r="K9" i="1"/>
  <c r="H9" i="1"/>
  <c r="G9" i="1"/>
</calcChain>
</file>

<file path=xl/sharedStrings.xml><?xml version="1.0" encoding="utf-8"?>
<sst xmlns="http://schemas.openxmlformats.org/spreadsheetml/2006/main" count="238" uniqueCount="69">
  <si>
    <t>Base</t>
  </si>
  <si>
    <t>Norm Cal/Carb</t>
  </si>
  <si>
    <t>Unit</t>
  </si>
  <si>
    <t>Carb</t>
  </si>
  <si>
    <t>Prot</t>
  </si>
  <si>
    <t>Fat</t>
  </si>
  <si>
    <t>Fiber</t>
  </si>
  <si>
    <t>Ratio</t>
  </si>
  <si>
    <t>Units/Carb</t>
  </si>
  <si>
    <t>Carbs</t>
  </si>
  <si>
    <t>Units</t>
  </si>
  <si>
    <t>BREAKFAST</t>
  </si>
  <si>
    <t>Apple</t>
  </si>
  <si>
    <t>g</t>
  </si>
  <si>
    <t>Banana</t>
  </si>
  <si>
    <t>Honey</t>
  </si>
  <si>
    <t>Oatmeal (steel cut, cooked)</t>
  </si>
  <si>
    <t>Raspberries</t>
  </si>
  <si>
    <t>Strawberry</t>
  </si>
  <si>
    <t>Walnuts</t>
  </si>
  <si>
    <t>MORNING SNACK</t>
  </si>
  <si>
    <t>Carrots</t>
  </si>
  <si>
    <t>Blueberries</t>
  </si>
  <si>
    <t>Macadamia nuts</t>
  </si>
  <si>
    <t>LUNCH</t>
  </si>
  <si>
    <t>Almond</t>
  </si>
  <si>
    <t>Cashews</t>
  </si>
  <si>
    <t>Pear</t>
  </si>
  <si>
    <t>Pepper</t>
  </si>
  <si>
    <t>Raisins</t>
  </si>
  <si>
    <t>Tangerine</t>
  </si>
  <si>
    <t>Tortilla (Mission Carb Balance)</t>
  </si>
  <si>
    <t>Watermelon</t>
  </si>
  <si>
    <t>Avocado</t>
  </si>
  <si>
    <t>Flacker</t>
  </si>
  <si>
    <t>AFTERNOON SNACK</t>
  </si>
  <si>
    <t>Chocolate (Green and Black 85%)</t>
  </si>
  <si>
    <t>Sunflower Seed (kernals)</t>
  </si>
  <si>
    <t>DINNER</t>
  </si>
  <si>
    <t>Annie Chun's seaweed snacks</t>
  </si>
  <si>
    <t>Black Beans</t>
  </si>
  <si>
    <t>Corn</t>
  </si>
  <si>
    <t>Macadamia Nuts</t>
  </si>
  <si>
    <t>Squash (butternut or delicata)</t>
  </si>
  <si>
    <t>Sweet potato</t>
  </si>
  <si>
    <t>BEDTIME SNACK</t>
  </si>
  <si>
    <t>MADSheet v1
Ted and Christy Brekken
March 2015
PLEASE READ THE INSTRUCTIONS TAB</t>
  </si>
  <si>
    <t>DAILY CARBS --&gt;</t>
  </si>
  <si>
    <t>DAILY CALORIES --&gt;</t>
  </si>
  <si>
    <t>Half and half (Organic Valley)</t>
  </si>
  <si>
    <t>Whole milk (Organic Valley)</t>
  </si>
  <si>
    <t>Greek yogurt (Greek Gods Traditional Plain)</t>
  </si>
  <si>
    <t>Chocolate (Green &amp; Black's dark 85%)</t>
  </si>
  <si>
    <t>Peanut butter (Adams Natural Creamy)</t>
  </si>
  <si>
    <t>Cream Cheese (Organic Valley)</t>
  </si>
  <si>
    <t>Popcorn (Popped)</t>
  </si>
  <si>
    <t>Cottage cheese (Organic Valley)</t>
  </si>
  <si>
    <t>Edamame (edible bean)</t>
  </si>
  <si>
    <t>Applesauce (unsweetened)</t>
  </si>
  <si>
    <t>Kalamata Olives (Peloponnese, pitted)</t>
  </si>
  <si>
    <t>Kale (raw)</t>
  </si>
  <si>
    <t>Tomato sauce (Muir Glen)</t>
  </si>
  <si>
    <t>Popcorn (popped)</t>
  </si>
  <si>
    <t>INSTRUCTIONS
Put the number of desired carbs of a given food in the "Carbs" column (column J).  The  amount of food for that many carbs is calculated in the "Units" column (column K).</t>
  </si>
  <si>
    <t>RUNNING TOTAL</t>
  </si>
  <si>
    <t>MEAL TOTAL</t>
  </si>
  <si>
    <t xml:space="preserve">ADDING NEW FOOD
To add a new food, create a new row.  Input the "Unit", "Carb", "Prot", "Fat", and "Fiber" columns (columns C through G, see descriptions below) as appropriate for the new food.  Copy and paste the "Norm Cal/Carb", "Ratio", "Units/Carb", and "Units" (columns B, H, I, K) cells from the row above or below.  Excel will paste the proper formula and automatically correct it for the new row.  (Caution: only add rows to the middle of a meal section.  When adding rows to the middle of a meal section, the "MEAL TOTAL" summation will adjust automatically.  However, when adding a row to the top or bottom of a meal section, the "MEAL TOTAL" summation will not adjust correctly.  Be sure to double check.)
</t>
  </si>
  <si>
    <t xml:space="preserve">DESCRIPTION OF LABELS AND CELLS: USER SPECIFIED
"DAILY CALORIES" is the target number of daily calories.
"DAILY CARBS" is the target number of daily carbs.
"Unit" is specified by the user, and indicates the base unit for calculating how much food to prepare.  Usually grams but could be set to cups or tablespoons, for example.
"Carb" is the number of grams of net carbs per unit of food.  (Grams of net carbs are the grams of carbs minus the grams of fiber.)  For example, walnuts have 13.6 grams of carbs and 6.8 grams of fiber per 100 grams of walnuts.  The net carbs per unit (assuming the unit is grams) is then (13.6-6.8)/100.  The formula "=(13.6-6.8)/100" can be entered directly into the cell by the user.
"Prot" is the number of grams of protein per unit of food.  For example, walnuts have 15.4 grams of protein per 100 grams of walnuts.  The protein per unit is then 15.4/100.  The formula "=15.4/100" can be entered directly into the cell by the user.
"Fat" is the number of grams of fat per unit of food.  For example, walnuts have 65.4 grams of fat per 100 grams of walnuts.  The fat per unit is then 65.4/100.  The formula "=65.4/100" can be entered directly into the cell by the user.
"Fiber" is the number of grams of fiber per unit of food.  For example, walnuts have 6.8 grams of fiber per 100 grams of walnuts.  The fiber per unit is then 6.8/100.  The formula "=6.8/100" can be entered directly into the cell by the user.
"Carbs" is the grams of carbs you would like for that type of food.  This is supplied by the user.
</t>
  </si>
  <si>
    <t>DESCRIPTION OF LABELS AND CELLS: CALCULATED
"Ratio" is units of fat divided by carbs plus protein.  It is calculated by the spreadsheet.  Higher ratio foods are generally more MAD friendly.
"Units/Carb" is units of food per one carb.  It is calculated by the spreadsheet.
"Units" is the amount of food to serve to get "Carbs" amount of carbs.  It is calculated by the spreadsheet.
"Norm Cal/Carb" is the fraction of daily calories that would be consumed if all of the daily allotment of carbs were consumed of this food.  Foods less than 1 require caution and can be consumed in small amounts, whereas foods greater than 1 are more MAD friendly.  Conditional formatting has been applied to automatically color the cells green if they are MAD friendly and red if they require more moderation. 
The blue/gray colored cell at the end of each section is the total number of carbs for that section.
The light green cell at the end of each section is the running total of carbs for the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</si>
</sst>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8" x14ac:knownFonts="1">
    <font>
      <sz val="12"/>
      <color theme="1"/>
      <name val="Calibri"/>
      <family val="2"/>
      <scheme val="minor"/>
    </font>
    <font>
      <b/>
      <sz val="12"/>
      <color rgb="FF000000"/>
      <name val="Arial"/>
    </font>
    <font>
      <sz val="12"/>
      <color rgb="FF000000"/>
      <name val="Arial"/>
    </font>
    <font>
      <u/>
      <sz val="12"/>
      <color rgb="FF000000"/>
      <name val="Arial"/>
    </font>
    <font>
      <b/>
      <u/>
      <sz val="12"/>
      <color rgb="FF000000"/>
      <name val="Arial"/>
    </font>
    <font>
      <u/>
      <sz val="12"/>
      <color theme="10"/>
      <name val="Calibri"/>
      <family val="2"/>
      <scheme val="minor"/>
    </font>
    <font>
      <u/>
      <sz val="12"/>
      <color theme="11"/>
      <name val="Calibri"/>
      <family val="2"/>
      <scheme val="minor"/>
    </font>
    <font>
      <sz val="12"/>
      <color theme="1"/>
      <name val="Arial"/>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
      <left style="thin">
        <color rgb="FF000000"/>
      </left>
      <right/>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s>
  <cellStyleXfs count="5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1" fillId="0" borderId="0" xfId="0" applyFont="1"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0" xfId="0" applyFont="1" applyAlignment="1">
      <alignment wrapText="1"/>
    </xf>
    <xf numFmtId="0" fontId="2" fillId="0" borderId="3" xfId="0" applyFont="1" applyBorder="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0" xfId="0" applyFont="1" applyAlignment="1">
      <alignment horizontal="center" wrapText="1"/>
    </xf>
    <xf numFmtId="0" fontId="3" fillId="0" borderId="3" xfId="0" applyFont="1" applyBorder="1" applyAlignment="1">
      <alignment horizontal="center" wrapText="1"/>
    </xf>
    <xf numFmtId="0" fontId="4"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0" xfId="0" applyFont="1" applyBorder="1" applyAlignment="1">
      <alignment horizontal="center" wrapText="1"/>
    </xf>
    <xf numFmtId="4" fontId="2" fillId="0" borderId="1" xfId="0" applyNumberFormat="1" applyFont="1" applyBorder="1" applyAlignment="1">
      <alignment horizontal="center" wrapText="1"/>
    </xf>
    <xf numFmtId="0" fontId="2" fillId="0" borderId="2" xfId="0" applyFont="1" applyBorder="1" applyAlignment="1">
      <alignment horizontal="center" wrapText="1"/>
    </xf>
    <xf numFmtId="4" fontId="2" fillId="0" borderId="0" xfId="0" applyNumberFormat="1" applyFont="1" applyAlignment="1">
      <alignment horizontal="center" wrapText="1"/>
    </xf>
    <xf numFmtId="164" fontId="2" fillId="0" borderId="3" xfId="0" applyNumberFormat="1"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4" fontId="2" fillId="0" borderId="0" xfId="0" applyNumberFormat="1" applyFont="1" applyAlignment="1">
      <alignment wrapText="1"/>
    </xf>
    <xf numFmtId="4" fontId="2" fillId="0" borderId="1" xfId="0" applyNumberFormat="1" applyFont="1" applyBorder="1" applyAlignment="1">
      <alignment wrapText="1"/>
    </xf>
    <xf numFmtId="164" fontId="2" fillId="0" borderId="0" xfId="0" applyNumberFormat="1" applyFont="1" applyAlignment="1">
      <alignment horizontal="center" wrapText="1"/>
    </xf>
    <xf numFmtId="165" fontId="2" fillId="0" borderId="0" xfId="0" applyNumberFormat="1" applyFont="1" applyAlignment="1">
      <alignment horizontal="center" wrapText="1"/>
    </xf>
    <xf numFmtId="0" fontId="2" fillId="0" borderId="0" xfId="0" applyFont="1" applyBorder="1" applyAlignment="1">
      <alignment wrapText="1"/>
    </xf>
    <xf numFmtId="0" fontId="2" fillId="0" borderId="6" xfId="0" applyFont="1" applyBorder="1" applyAlignment="1">
      <alignment wrapText="1"/>
    </xf>
    <xf numFmtId="0" fontId="2" fillId="0" borderId="7" xfId="0" applyFont="1" applyBorder="1" applyAlignment="1">
      <alignment horizontal="center" wrapText="1"/>
    </xf>
    <xf numFmtId="0" fontId="2" fillId="0" borderId="8"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0" xfId="0" applyFont="1" applyAlignment="1">
      <alignment vertical="top" wrapText="1"/>
    </xf>
    <xf numFmtId="0" fontId="7" fillId="0" borderId="0" xfId="0" applyFont="1" applyAlignment="1">
      <alignment vertical="top" wrapText="1"/>
    </xf>
    <xf numFmtId="166" fontId="2" fillId="0" borderId="3" xfId="0" applyNumberFormat="1" applyFont="1" applyBorder="1" applyAlignment="1">
      <alignment horizontal="center" wrapText="1"/>
    </xf>
    <xf numFmtId="0" fontId="2" fillId="2" borderId="0" xfId="0" applyFont="1" applyFill="1" applyAlignment="1">
      <alignment wrapText="1"/>
    </xf>
    <xf numFmtId="0" fontId="2" fillId="2" borderId="3" xfId="0" applyFont="1" applyFill="1" applyBorder="1" applyAlignment="1">
      <alignment horizontal="center" wrapText="1"/>
    </xf>
    <xf numFmtId="0" fontId="2" fillId="3" borderId="0" xfId="0" applyFont="1" applyFill="1" applyAlignment="1">
      <alignment wrapText="1"/>
    </xf>
    <xf numFmtId="0" fontId="2" fillId="3" borderId="3" xfId="0" applyFont="1" applyFill="1" applyBorder="1" applyAlignment="1">
      <alignment horizontal="center" wrapText="1"/>
    </xf>
    <xf numFmtId="164" fontId="2" fillId="2" borderId="3" xfId="0" applyNumberFormat="1" applyFont="1" applyFill="1" applyBorder="1" applyAlignment="1">
      <alignment horizontal="center" wrapText="1"/>
    </xf>
    <xf numFmtId="164" fontId="2" fillId="3" borderId="3" xfId="0" applyNumberFormat="1" applyFont="1" applyFill="1" applyBorder="1" applyAlignment="1">
      <alignment horizontal="center" wrapText="1"/>
    </xf>
  </cellXfs>
  <cellStyles count="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l" xfId="0" builtinId="0"/>
  </cellStyles>
  <dxfs count="6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abSelected="1" workbookViewId="0">
      <pane xSplit="1" ySplit="7" topLeftCell="B8" activePane="bottomRight" state="frozen"/>
      <selection pane="topRight" activeCell="B1" sqref="B1"/>
      <selection pane="bottomLeft" activeCell="A4" sqref="A4"/>
      <selection pane="bottomRight" activeCell="L21" sqref="L21"/>
    </sheetView>
  </sheetViews>
  <sheetFormatPr baseColWidth="10" defaultColWidth="17.1640625" defaultRowHeight="15" x14ac:dyDescent="0"/>
  <cols>
    <col min="1" max="1" width="40.83203125" style="4" customWidth="1"/>
    <col min="2" max="2" width="15.6640625" style="4" customWidth="1"/>
    <col min="3" max="3" width="6.5" style="4" customWidth="1"/>
    <col min="4" max="7" width="6.6640625" style="4" customWidth="1"/>
    <col min="8" max="8" width="7.5" style="4" customWidth="1"/>
    <col min="9" max="9" width="11.1640625" style="4" customWidth="1"/>
    <col min="10" max="10" width="8.33203125" style="4" customWidth="1"/>
    <col min="11" max="11" width="7.33203125" style="4" customWidth="1"/>
    <col min="12" max="12" width="79.5" style="4" customWidth="1"/>
    <col min="13" max="16" width="21.1640625" style="4" customWidth="1"/>
    <col min="17" max="16384" width="17.1640625" style="4"/>
  </cols>
  <sheetData>
    <row r="1" spans="1:16" ht="67" customHeight="1">
      <c r="A1" s="4" t="s">
        <v>46</v>
      </c>
      <c r="K1" s="24"/>
      <c r="L1" s="24"/>
    </row>
    <row r="2" spans="1:16" ht="15" customHeight="1">
      <c r="K2" s="24"/>
      <c r="L2" s="24"/>
    </row>
    <row r="3" spans="1:16">
      <c r="A3" s="1" t="s">
        <v>48</v>
      </c>
      <c r="B3" s="4">
        <v>1300</v>
      </c>
      <c r="K3" s="24"/>
      <c r="L3" s="24"/>
    </row>
    <row r="4" spans="1:16">
      <c r="A4" s="1" t="s">
        <v>47</v>
      </c>
      <c r="B4" s="4">
        <v>40</v>
      </c>
      <c r="K4" s="24"/>
      <c r="L4" s="24"/>
    </row>
    <row r="5" spans="1:16">
      <c r="A5" s="1"/>
      <c r="B5" s="24"/>
      <c r="C5" s="24"/>
      <c r="D5" s="24"/>
      <c r="E5" s="24"/>
      <c r="F5" s="24"/>
      <c r="G5" s="24"/>
      <c r="H5" s="24"/>
      <c r="I5" s="24"/>
      <c r="J5" s="24"/>
      <c r="K5" s="24"/>
      <c r="L5" s="24"/>
    </row>
    <row r="6" spans="1:16">
      <c r="A6" s="30"/>
      <c r="B6" s="25"/>
      <c r="C6" s="26" t="s">
        <v>0</v>
      </c>
      <c r="D6" s="27"/>
      <c r="E6" s="27"/>
      <c r="F6" s="27"/>
      <c r="G6" s="27"/>
      <c r="H6" s="28"/>
      <c r="I6" s="29"/>
      <c r="J6" s="29"/>
      <c r="K6" s="29"/>
      <c r="L6" s="3"/>
    </row>
    <row r="7" spans="1:16">
      <c r="B7" s="6" t="s">
        <v>1</v>
      </c>
      <c r="C7" s="7" t="s">
        <v>2</v>
      </c>
      <c r="D7" s="8" t="s">
        <v>3</v>
      </c>
      <c r="E7" s="8" t="s">
        <v>4</v>
      </c>
      <c r="F7" s="8" t="s">
        <v>5</v>
      </c>
      <c r="G7" s="8" t="s">
        <v>6</v>
      </c>
      <c r="H7" s="6" t="s">
        <v>7</v>
      </c>
      <c r="I7" s="9" t="s">
        <v>8</v>
      </c>
      <c r="J7" s="10" t="s">
        <v>9</v>
      </c>
      <c r="K7" s="9" t="s">
        <v>10</v>
      </c>
      <c r="L7" s="3"/>
      <c r="O7" s="11"/>
      <c r="P7" s="12"/>
    </row>
    <row r="8" spans="1:16">
      <c r="A8" s="4" t="s">
        <v>11</v>
      </c>
      <c r="B8" s="6"/>
      <c r="C8" s="7"/>
      <c r="D8" s="8"/>
      <c r="E8" s="8"/>
      <c r="F8" s="8"/>
      <c r="G8" s="8"/>
      <c r="H8" s="6"/>
      <c r="I8" s="9"/>
      <c r="J8" s="10"/>
      <c r="K8" s="9"/>
      <c r="L8" s="3"/>
      <c r="O8" s="13"/>
      <c r="P8" s="13"/>
    </row>
    <row r="9" spans="1:16">
      <c r="A9" s="4" t="s">
        <v>12</v>
      </c>
      <c r="B9" s="14">
        <f>(((((4*D9)+(4*E9))+(9*F9))/D9)*$B$4)/$B$3</f>
        <v>0.12307692307692308</v>
      </c>
      <c r="C9" s="15" t="s">
        <v>13</v>
      </c>
      <c r="D9" s="16">
        <f>1.25/10</f>
        <v>0.125</v>
      </c>
      <c r="E9" s="16">
        <v>0</v>
      </c>
      <c r="F9" s="16">
        <v>0</v>
      </c>
      <c r="G9" s="16">
        <f>0.25/10</f>
        <v>2.5000000000000001E-2</v>
      </c>
      <c r="H9" s="14">
        <f t="shared" ref="H9:H19" si="0">F9/(D9+E9)</f>
        <v>0</v>
      </c>
      <c r="I9" s="17">
        <f t="shared" ref="I9:I19" si="1">1/D9</f>
        <v>8</v>
      </c>
      <c r="J9" s="33"/>
      <c r="K9" s="17">
        <f t="shared" ref="K9:K19" si="2">I9*J9</f>
        <v>0</v>
      </c>
      <c r="L9" s="3"/>
    </row>
    <row r="10" spans="1:16">
      <c r="A10" s="4" t="s">
        <v>14</v>
      </c>
      <c r="B10" s="14">
        <f t="shared" ref="B10:B19" si="3">(((((4*D10)+(4*E10))+(9*F10))/D10)*$B$4)/$B$3</f>
        <v>0.12938856015779093</v>
      </c>
      <c r="C10" s="15" t="s">
        <v>13</v>
      </c>
      <c r="D10" s="16">
        <f>(26.9-3.5)/118</f>
        <v>0.19830508474576269</v>
      </c>
      <c r="E10" s="16">
        <f>1.2/118</f>
        <v>1.0169491525423728E-2</v>
      </c>
      <c r="F10" s="16">
        <f>0</f>
        <v>0</v>
      </c>
      <c r="G10" s="16">
        <f>3.5/118</f>
        <v>2.9661016949152543E-2</v>
      </c>
      <c r="H10" s="14">
        <f t="shared" si="0"/>
        <v>0</v>
      </c>
      <c r="I10" s="17">
        <f t="shared" si="1"/>
        <v>5.0427350427350435</v>
      </c>
      <c r="J10" s="33"/>
      <c r="K10" s="17">
        <f t="shared" si="2"/>
        <v>0</v>
      </c>
      <c r="L10" s="3"/>
    </row>
    <row r="11" spans="1:16">
      <c r="A11" s="4" t="s">
        <v>22</v>
      </c>
      <c r="B11" s="14">
        <f t="shared" si="3"/>
        <v>0.13808010171646537</v>
      </c>
      <c r="C11" s="15" t="s">
        <v>13</v>
      </c>
      <c r="D11" s="16">
        <v>0.121</v>
      </c>
      <c r="E11" s="16">
        <v>8.0000000000000002E-3</v>
      </c>
      <c r="F11" s="16">
        <v>3.0000000000000001E-3</v>
      </c>
      <c r="G11" s="16">
        <v>2.4E-2</v>
      </c>
      <c r="H11" s="14">
        <f t="shared" si="0"/>
        <v>2.3255813953488372E-2</v>
      </c>
      <c r="I11" s="17">
        <f t="shared" si="1"/>
        <v>8.2644628099173563</v>
      </c>
      <c r="J11" s="33"/>
      <c r="K11" s="17">
        <f t="shared" si="2"/>
        <v>0</v>
      </c>
      <c r="L11" s="3"/>
    </row>
    <row r="12" spans="1:16">
      <c r="A12" s="4" t="s">
        <v>50</v>
      </c>
      <c r="B12" s="14">
        <f t="shared" si="3"/>
        <v>0.38974358974358969</v>
      </c>
      <c r="C12" s="15" t="s">
        <v>13</v>
      </c>
      <c r="D12" s="16">
        <f>12/240</f>
        <v>0.05</v>
      </c>
      <c r="E12" s="16">
        <f>8/240</f>
        <v>3.3333333333333333E-2</v>
      </c>
      <c r="F12" s="16">
        <f>8/240</f>
        <v>3.3333333333333333E-2</v>
      </c>
      <c r="G12" s="16">
        <f>0</f>
        <v>0</v>
      </c>
      <c r="H12" s="14">
        <f t="shared" si="0"/>
        <v>0.39999999999999997</v>
      </c>
      <c r="I12" s="17">
        <f t="shared" si="1"/>
        <v>20</v>
      </c>
      <c r="J12" s="33"/>
      <c r="K12" s="17">
        <f t="shared" si="2"/>
        <v>0</v>
      </c>
    </row>
    <row r="13" spans="1:16">
      <c r="A13" s="4" t="s">
        <v>49</v>
      </c>
      <c r="B13" s="14">
        <f t="shared" si="3"/>
        <v>1.1538461538461537</v>
      </c>
      <c r="C13" s="15" t="s">
        <v>13</v>
      </c>
      <c r="D13" s="16">
        <f>1/30</f>
        <v>3.3333333333333333E-2</v>
      </c>
      <c r="E13" s="16">
        <f>0.5/30</f>
        <v>1.6666666666666666E-2</v>
      </c>
      <c r="F13" s="16">
        <f>3.5/30</f>
        <v>0.11666666666666667</v>
      </c>
      <c r="G13" s="16">
        <f>0</f>
        <v>0</v>
      </c>
      <c r="H13" s="14">
        <f t="shared" si="0"/>
        <v>2.333333333333333</v>
      </c>
      <c r="I13" s="17">
        <f t="shared" si="1"/>
        <v>30</v>
      </c>
      <c r="J13" s="33"/>
      <c r="K13" s="17">
        <f t="shared" si="2"/>
        <v>0</v>
      </c>
    </row>
    <row r="14" spans="1:16">
      <c r="A14" s="4" t="s">
        <v>15</v>
      </c>
      <c r="B14" s="14">
        <f t="shared" si="3"/>
        <v>0.12380090497737556</v>
      </c>
      <c r="C14" s="15" t="s">
        <v>13</v>
      </c>
      <c r="D14" s="16">
        <f>17/21</f>
        <v>0.80952380952380953</v>
      </c>
      <c r="E14" s="16">
        <f>0.1/21</f>
        <v>4.7619047619047623E-3</v>
      </c>
      <c r="F14" s="16">
        <f>0</f>
        <v>0</v>
      </c>
      <c r="G14" s="16">
        <f>0</f>
        <v>0</v>
      </c>
      <c r="H14" s="14">
        <f t="shared" si="0"/>
        <v>0</v>
      </c>
      <c r="I14" s="17">
        <f t="shared" si="1"/>
        <v>1.2352941176470589</v>
      </c>
      <c r="J14" s="33"/>
      <c r="K14" s="17">
        <f t="shared" si="2"/>
        <v>0</v>
      </c>
    </row>
    <row r="15" spans="1:16">
      <c r="A15" s="4" t="s">
        <v>51</v>
      </c>
      <c r="B15" s="14">
        <f t="shared" si="3"/>
        <v>0.93846153846153846</v>
      </c>
      <c r="C15" s="15" t="s">
        <v>13</v>
      </c>
      <c r="D15" s="16">
        <v>0.04</v>
      </c>
      <c r="E15" s="16">
        <v>0.04</v>
      </c>
      <c r="F15" s="16">
        <v>0.1</v>
      </c>
      <c r="G15" s="16">
        <v>0</v>
      </c>
      <c r="H15" s="14">
        <f t="shared" si="0"/>
        <v>1.25</v>
      </c>
      <c r="I15" s="17">
        <f t="shared" si="1"/>
        <v>25</v>
      </c>
      <c r="J15" s="33">
        <v>5</v>
      </c>
      <c r="K15" s="17">
        <f t="shared" si="2"/>
        <v>125</v>
      </c>
    </row>
    <row r="16" spans="1:16">
      <c r="A16" s="4" t="s">
        <v>16</v>
      </c>
      <c r="B16" s="14">
        <f t="shared" si="3"/>
        <v>0.21666666666666665</v>
      </c>
      <c r="C16" s="15" t="s">
        <v>13</v>
      </c>
      <c r="D16" s="16">
        <f>(4*24)/((44*4)+(3*236))</f>
        <v>0.10859728506787331</v>
      </c>
      <c r="E16" s="16">
        <f>(7*4)/((4*44)+(3*236))</f>
        <v>3.1674208144796379E-2</v>
      </c>
      <c r="F16" s="16">
        <f>(5*4)/((44*4)+(3*236))</f>
        <v>2.2624434389140271E-2</v>
      </c>
      <c r="G16" s="16">
        <f>0.7/44</f>
        <v>1.5909090909090907E-2</v>
      </c>
      <c r="H16" s="14">
        <f t="shared" si="0"/>
        <v>0.16129032258064516</v>
      </c>
      <c r="I16" s="17">
        <f t="shared" si="1"/>
        <v>9.2083333333333339</v>
      </c>
      <c r="J16" s="33"/>
      <c r="K16" s="17">
        <f t="shared" si="2"/>
        <v>0</v>
      </c>
    </row>
    <row r="17" spans="1:12">
      <c r="A17" s="4" t="s">
        <v>17</v>
      </c>
      <c r="B17" s="14">
        <f t="shared" si="3"/>
        <v>0.18021978021978022</v>
      </c>
      <c r="C17" s="15" t="s">
        <v>13</v>
      </c>
      <c r="D17" s="16">
        <f>7/123</f>
        <v>5.6910569105691054E-2</v>
      </c>
      <c r="E17" s="16">
        <f>1/123</f>
        <v>8.130081300813009E-3</v>
      </c>
      <c r="F17" s="16">
        <f>1/123</f>
        <v>8.130081300813009E-3</v>
      </c>
      <c r="G17" s="16">
        <f>8/123</f>
        <v>6.5040650406504072E-2</v>
      </c>
      <c r="H17" s="14">
        <f t="shared" si="0"/>
        <v>0.12500000000000003</v>
      </c>
      <c r="I17" s="17">
        <f t="shared" si="1"/>
        <v>17.571428571428573</v>
      </c>
      <c r="J17" s="33"/>
      <c r="K17" s="17">
        <f t="shared" si="2"/>
        <v>0</v>
      </c>
    </row>
    <row r="18" spans="1:12">
      <c r="A18" s="4" t="s">
        <v>18</v>
      </c>
      <c r="B18" s="14">
        <f t="shared" si="3"/>
        <v>0.1372005044136192</v>
      </c>
      <c r="C18" s="15" t="s">
        <v>13</v>
      </c>
      <c r="D18" s="16">
        <f>6.1/100</f>
        <v>6.0999999999999999E-2</v>
      </c>
      <c r="E18" s="16">
        <v>7.0000000000000001E-3</v>
      </c>
      <c r="F18" s="16">
        <v>0</v>
      </c>
      <c r="G18" s="16">
        <f>0.1/7</f>
        <v>1.4285714285714287E-2</v>
      </c>
      <c r="H18" s="14">
        <f t="shared" si="0"/>
        <v>0</v>
      </c>
      <c r="I18" s="17">
        <f t="shared" si="1"/>
        <v>16.393442622950818</v>
      </c>
      <c r="J18" s="33"/>
      <c r="K18" s="17">
        <f t="shared" si="2"/>
        <v>0</v>
      </c>
    </row>
    <row r="19" spans="1:12">
      <c r="A19" s="4" t="s">
        <v>19</v>
      </c>
      <c r="B19" s="14">
        <f t="shared" si="3"/>
        <v>3.0651583710407238</v>
      </c>
      <c r="C19" s="15" t="s">
        <v>13</v>
      </c>
      <c r="D19" s="16">
        <f>(13.6-6.8)/100</f>
        <v>6.8000000000000005E-2</v>
      </c>
      <c r="E19" s="16">
        <v>0.154</v>
      </c>
      <c r="F19" s="16">
        <v>0.65400000000000003</v>
      </c>
      <c r="G19" s="16">
        <v>6.8000000000000005E-2</v>
      </c>
      <c r="H19" s="14">
        <f t="shared" si="0"/>
        <v>2.9459459459459461</v>
      </c>
      <c r="I19" s="17">
        <f t="shared" si="1"/>
        <v>14.705882352941176</v>
      </c>
      <c r="J19" s="33"/>
      <c r="K19" s="17">
        <f t="shared" si="2"/>
        <v>0</v>
      </c>
    </row>
    <row r="20" spans="1:12">
      <c r="A20" s="34" t="s">
        <v>65</v>
      </c>
      <c r="B20" s="19"/>
      <c r="C20" s="3"/>
      <c r="D20" s="20"/>
      <c r="E20" s="20"/>
      <c r="F20" s="20"/>
      <c r="G20" s="20"/>
      <c r="H20" s="14"/>
      <c r="I20" s="18"/>
      <c r="J20" s="35">
        <f>SUM(J9:J19)</f>
        <v>5</v>
      </c>
      <c r="K20" s="18"/>
    </row>
    <row r="21" spans="1:12">
      <c r="A21" s="36" t="s">
        <v>64</v>
      </c>
      <c r="B21" s="19"/>
      <c r="C21" s="3"/>
      <c r="D21" s="20"/>
      <c r="E21" s="20"/>
      <c r="F21" s="20"/>
      <c r="G21" s="20"/>
      <c r="H21" s="14"/>
      <c r="I21" s="18"/>
      <c r="J21" s="37">
        <f>SUM(J20)</f>
        <v>5</v>
      </c>
      <c r="K21" s="18"/>
    </row>
    <row r="22" spans="1:12">
      <c r="B22" s="19"/>
      <c r="C22" s="3"/>
      <c r="D22" s="20"/>
      <c r="E22" s="20"/>
      <c r="F22" s="20"/>
      <c r="G22" s="20"/>
      <c r="H22" s="14"/>
      <c r="I22" s="18"/>
      <c r="J22" s="18"/>
      <c r="K22" s="18"/>
    </row>
    <row r="23" spans="1:12">
      <c r="A23" s="4" t="s">
        <v>20</v>
      </c>
      <c r="B23" s="19"/>
      <c r="C23" s="3"/>
      <c r="D23" s="20"/>
      <c r="E23" s="20"/>
      <c r="F23" s="20"/>
      <c r="G23" s="20"/>
      <c r="H23" s="14"/>
      <c r="I23" s="18"/>
      <c r="J23" s="18"/>
      <c r="K23" s="18"/>
    </row>
    <row r="24" spans="1:12">
      <c r="A24" s="4" t="s">
        <v>12</v>
      </c>
      <c r="B24" s="14">
        <f t="shared" ref="B24:B32" si="4">(((((4*D24)+(4*E24))+(9*F24))/D24)*$B$4)/$B$3</f>
        <v>0.12307692307692308</v>
      </c>
      <c r="C24" s="15" t="s">
        <v>13</v>
      </c>
      <c r="D24" s="16">
        <f>1.25/10</f>
        <v>0.125</v>
      </c>
      <c r="E24" s="16">
        <v>0</v>
      </c>
      <c r="F24" s="16">
        <v>0</v>
      </c>
      <c r="G24" s="16">
        <f>0.25/10</f>
        <v>2.5000000000000001E-2</v>
      </c>
      <c r="H24" s="14">
        <f t="shared" ref="H24:H32" si="5">F24/(D24+E24)</f>
        <v>0</v>
      </c>
      <c r="I24" s="17">
        <f t="shared" ref="I24:I32" si="6">1/D24</f>
        <v>8</v>
      </c>
      <c r="J24" s="33">
        <v>3</v>
      </c>
      <c r="K24" s="17">
        <f t="shared" ref="K24:K32" si="7">I24*J24</f>
        <v>24</v>
      </c>
    </row>
    <row r="25" spans="1:12">
      <c r="A25" s="4" t="s">
        <v>21</v>
      </c>
      <c r="B25" s="14">
        <f t="shared" si="4"/>
        <v>0.14358974358974361</v>
      </c>
      <c r="C25" s="15" t="s">
        <v>13</v>
      </c>
      <c r="D25" s="16">
        <f>6/85</f>
        <v>7.0588235294117646E-2</v>
      </c>
      <c r="E25" s="16">
        <f>1/85</f>
        <v>1.1764705882352941E-2</v>
      </c>
      <c r="F25" s="16">
        <f>0</f>
        <v>0</v>
      </c>
      <c r="G25" s="16">
        <f>2/85</f>
        <v>2.3529411764705882E-2</v>
      </c>
      <c r="H25" s="14">
        <f t="shared" si="5"/>
        <v>0</v>
      </c>
      <c r="I25" s="17">
        <f t="shared" si="6"/>
        <v>14.166666666666666</v>
      </c>
      <c r="J25" s="33"/>
      <c r="K25" s="17">
        <f t="shared" si="7"/>
        <v>0</v>
      </c>
    </row>
    <row r="26" spans="1:12">
      <c r="A26" s="4" t="s">
        <v>22</v>
      </c>
      <c r="B26" s="14">
        <f t="shared" si="4"/>
        <v>0.13808010171646537</v>
      </c>
      <c r="C26" s="15" t="s">
        <v>13</v>
      </c>
      <c r="D26" s="16">
        <v>0.121</v>
      </c>
      <c r="E26" s="16">
        <v>8.0000000000000002E-3</v>
      </c>
      <c r="F26" s="16">
        <v>3.0000000000000001E-3</v>
      </c>
      <c r="G26" s="16">
        <v>2.4E-2</v>
      </c>
      <c r="H26" s="14">
        <f t="shared" si="5"/>
        <v>2.3255813953488372E-2</v>
      </c>
      <c r="I26" s="17">
        <f t="shared" si="6"/>
        <v>8.2644628099173563</v>
      </c>
      <c r="J26" s="33"/>
      <c r="K26" s="17">
        <f t="shared" si="7"/>
        <v>0</v>
      </c>
    </row>
    <row r="27" spans="1:12">
      <c r="A27" s="4" t="s">
        <v>52</v>
      </c>
      <c r="B27" s="14">
        <f t="shared" si="4"/>
        <v>0.67132867132867124</v>
      </c>
      <c r="C27" s="15" t="s">
        <v>13</v>
      </c>
      <c r="D27" s="16">
        <f>11/40</f>
        <v>0.27500000000000002</v>
      </c>
      <c r="E27" s="16">
        <f>4/40</f>
        <v>0.1</v>
      </c>
      <c r="F27" s="16">
        <f>20/40</f>
        <v>0.5</v>
      </c>
      <c r="G27" s="16">
        <f>4/40</f>
        <v>0.1</v>
      </c>
      <c r="H27" s="14">
        <f t="shared" si="5"/>
        <v>1.3333333333333333</v>
      </c>
      <c r="I27" s="17">
        <f t="shared" si="6"/>
        <v>3.6363636363636362</v>
      </c>
      <c r="J27" s="33">
        <v>1</v>
      </c>
      <c r="K27" s="17">
        <f t="shared" si="7"/>
        <v>3.6363636363636362</v>
      </c>
    </row>
    <row r="28" spans="1:12">
      <c r="A28" s="4" t="s">
        <v>23</v>
      </c>
      <c r="B28" s="14">
        <f t="shared" si="4"/>
        <v>3.7948717948717952</v>
      </c>
      <c r="C28" s="15" t="s">
        <v>13</v>
      </c>
      <c r="D28" s="16">
        <v>0.06</v>
      </c>
      <c r="E28" s="16">
        <v>0.08</v>
      </c>
      <c r="F28" s="16">
        <v>0.76</v>
      </c>
      <c r="G28" s="16">
        <v>0.08</v>
      </c>
      <c r="H28" s="14">
        <f t="shared" si="5"/>
        <v>5.4285714285714279</v>
      </c>
      <c r="I28" s="17">
        <f t="shared" si="6"/>
        <v>16.666666666666668</v>
      </c>
      <c r="J28" s="33"/>
      <c r="K28" s="17">
        <f t="shared" si="7"/>
        <v>0</v>
      </c>
    </row>
    <row r="29" spans="1:12">
      <c r="A29" s="4" t="s">
        <v>53</v>
      </c>
      <c r="B29" s="14">
        <f t="shared" si="4"/>
        <v>1.4461538461538461</v>
      </c>
      <c r="C29" s="15" t="s">
        <v>13</v>
      </c>
      <c r="D29" s="16">
        <f>4/32</f>
        <v>0.125</v>
      </c>
      <c r="E29" s="16">
        <f>7/32</f>
        <v>0.21875</v>
      </c>
      <c r="F29" s="16">
        <f>16/32</f>
        <v>0.5</v>
      </c>
      <c r="G29" s="16">
        <f>2/32</f>
        <v>6.25E-2</v>
      </c>
      <c r="H29" s="14">
        <f t="shared" si="5"/>
        <v>1.4545454545454546</v>
      </c>
      <c r="I29" s="17">
        <f t="shared" si="6"/>
        <v>8</v>
      </c>
      <c r="J29" s="33">
        <v>3</v>
      </c>
      <c r="K29" s="17">
        <f t="shared" si="7"/>
        <v>24</v>
      </c>
    </row>
    <row r="30" spans="1:12">
      <c r="A30" s="4" t="s">
        <v>17</v>
      </c>
      <c r="B30" s="14">
        <f t="shared" si="4"/>
        <v>0.18021978021978022</v>
      </c>
      <c r="C30" s="15" t="s">
        <v>13</v>
      </c>
      <c r="D30" s="16">
        <f>7/123</f>
        <v>5.6910569105691054E-2</v>
      </c>
      <c r="E30" s="16">
        <f>1/123</f>
        <v>8.130081300813009E-3</v>
      </c>
      <c r="F30" s="16">
        <f>1/123</f>
        <v>8.130081300813009E-3</v>
      </c>
      <c r="G30" s="16">
        <f>8/123</f>
        <v>6.5040650406504072E-2</v>
      </c>
      <c r="H30" s="14">
        <f t="shared" si="5"/>
        <v>0.12500000000000003</v>
      </c>
      <c r="I30" s="17">
        <f t="shared" si="6"/>
        <v>17.571428571428573</v>
      </c>
      <c r="J30" s="33"/>
      <c r="K30" s="17">
        <f t="shared" si="7"/>
        <v>0</v>
      </c>
      <c r="L30" s="3"/>
    </row>
    <row r="31" spans="1:12">
      <c r="A31" s="4" t="s">
        <v>18</v>
      </c>
      <c r="B31" s="14">
        <f t="shared" si="4"/>
        <v>0.1372005044136192</v>
      </c>
      <c r="C31" s="15" t="s">
        <v>13</v>
      </c>
      <c r="D31" s="16">
        <f>6.1/100</f>
        <v>6.0999999999999999E-2</v>
      </c>
      <c r="E31" s="16">
        <v>7.0000000000000001E-3</v>
      </c>
      <c r="F31" s="16">
        <v>0</v>
      </c>
      <c r="G31" s="16">
        <f>0.1/7</f>
        <v>1.4285714285714287E-2</v>
      </c>
      <c r="H31" s="14">
        <f t="shared" si="5"/>
        <v>0</v>
      </c>
      <c r="I31" s="17">
        <f t="shared" si="6"/>
        <v>16.393442622950818</v>
      </c>
      <c r="J31" s="33"/>
      <c r="K31" s="17">
        <f t="shared" si="7"/>
        <v>0</v>
      </c>
      <c r="L31" s="3"/>
    </row>
    <row r="32" spans="1:12">
      <c r="A32" s="4" t="s">
        <v>19</v>
      </c>
      <c r="B32" s="14">
        <f t="shared" si="4"/>
        <v>3.0651583710407238</v>
      </c>
      <c r="C32" s="15" t="s">
        <v>13</v>
      </c>
      <c r="D32" s="16">
        <f>(13.6-6.8)/100</f>
        <v>6.8000000000000005E-2</v>
      </c>
      <c r="E32" s="16">
        <v>0.154</v>
      </c>
      <c r="F32" s="16">
        <v>0.65400000000000003</v>
      </c>
      <c r="G32" s="16">
        <v>6.8000000000000005E-2</v>
      </c>
      <c r="H32" s="14">
        <f t="shared" si="5"/>
        <v>2.9459459459459461</v>
      </c>
      <c r="I32" s="17">
        <f t="shared" si="6"/>
        <v>14.705882352941176</v>
      </c>
      <c r="J32" s="33"/>
      <c r="K32" s="17">
        <f t="shared" si="7"/>
        <v>0</v>
      </c>
      <c r="L32" s="3"/>
    </row>
    <row r="33" spans="1:12">
      <c r="A33" s="34" t="s">
        <v>65</v>
      </c>
      <c r="B33" s="2"/>
      <c r="C33" s="3"/>
      <c r="D33" s="20"/>
      <c r="E33" s="20"/>
      <c r="F33" s="20"/>
      <c r="G33" s="20"/>
      <c r="H33" s="21"/>
      <c r="I33" s="5"/>
      <c r="J33" s="35">
        <f>SUM(J24:J32)</f>
        <v>7</v>
      </c>
      <c r="K33" s="17"/>
      <c r="L33" s="3"/>
    </row>
    <row r="34" spans="1:12">
      <c r="A34" s="36" t="s">
        <v>64</v>
      </c>
      <c r="B34" s="2"/>
      <c r="C34" s="3"/>
      <c r="D34" s="20"/>
      <c r="E34" s="20"/>
      <c r="F34" s="20"/>
      <c r="G34" s="20"/>
      <c r="H34" s="21"/>
      <c r="I34" s="5"/>
      <c r="J34" s="37">
        <f>J21+J33</f>
        <v>12</v>
      </c>
      <c r="K34" s="5"/>
      <c r="L34" s="3"/>
    </row>
    <row r="35" spans="1:12">
      <c r="B35" s="2"/>
      <c r="C35" s="3"/>
      <c r="D35" s="20"/>
      <c r="E35" s="20"/>
      <c r="F35" s="20"/>
      <c r="G35" s="20"/>
      <c r="H35" s="21"/>
      <c r="I35" s="5"/>
      <c r="J35" s="5"/>
      <c r="K35" s="5"/>
      <c r="L35" s="3"/>
    </row>
    <row r="36" spans="1:12">
      <c r="A36" s="4" t="s">
        <v>24</v>
      </c>
      <c r="B36" s="2"/>
      <c r="C36" s="3"/>
      <c r="D36" s="20"/>
      <c r="E36" s="20"/>
      <c r="F36" s="20"/>
      <c r="G36" s="20"/>
      <c r="H36" s="21"/>
      <c r="I36" s="5"/>
      <c r="J36" s="5"/>
      <c r="K36" s="5"/>
      <c r="L36" s="3"/>
    </row>
    <row r="37" spans="1:12">
      <c r="A37" s="4" t="s">
        <v>12</v>
      </c>
      <c r="B37" s="14">
        <f t="shared" ref="B37:B61" si="8">(((((4*D37)+(4*E37))+(9*F37))/D37)*$B$4)/$B$3</f>
        <v>0.12307692307692308</v>
      </c>
      <c r="C37" s="15" t="s">
        <v>13</v>
      </c>
      <c r="D37" s="16">
        <f>1.25/10</f>
        <v>0.125</v>
      </c>
      <c r="E37" s="16">
        <v>0</v>
      </c>
      <c r="F37" s="16">
        <v>0</v>
      </c>
      <c r="G37" s="16">
        <f>0.25/10</f>
        <v>2.5000000000000001E-2</v>
      </c>
      <c r="H37" s="14">
        <f t="shared" ref="H37:H61" si="9">F37/(D37+E37)</f>
        <v>0</v>
      </c>
      <c r="I37" s="17">
        <f t="shared" ref="I37:I61" si="10">1/D37</f>
        <v>8</v>
      </c>
      <c r="J37" s="33"/>
      <c r="K37" s="17">
        <f t="shared" ref="K37:K61" si="11">I37*J37</f>
        <v>0</v>
      </c>
      <c r="L37" s="3"/>
    </row>
    <row r="38" spans="1:12">
      <c r="A38" s="4" t="s">
        <v>25</v>
      </c>
      <c r="B38" s="14">
        <f t="shared" si="8"/>
        <v>1.8966555183946485</v>
      </c>
      <c r="C38" s="15" t="s">
        <v>13</v>
      </c>
      <c r="D38" s="16">
        <f>(21.6-12.4)/100</f>
        <v>9.2000000000000012E-2</v>
      </c>
      <c r="E38" s="16">
        <v>0.21199999999999999</v>
      </c>
      <c r="F38" s="16">
        <v>0.495</v>
      </c>
      <c r="G38" s="16">
        <v>0.124</v>
      </c>
      <c r="H38" s="14">
        <f t="shared" si="9"/>
        <v>1.6282894736842106</v>
      </c>
      <c r="I38" s="17">
        <f t="shared" si="10"/>
        <v>10.869565217391303</v>
      </c>
      <c r="J38" s="33"/>
      <c r="K38" s="17">
        <f t="shared" si="11"/>
        <v>0</v>
      </c>
      <c r="L38" s="3"/>
    </row>
    <row r="39" spans="1:12">
      <c r="A39" s="4" t="s">
        <v>21</v>
      </c>
      <c r="B39" s="14">
        <f t="shared" si="8"/>
        <v>0.14358974358974361</v>
      </c>
      <c r="C39" s="15" t="s">
        <v>13</v>
      </c>
      <c r="D39" s="16">
        <f>6/85</f>
        <v>7.0588235294117646E-2</v>
      </c>
      <c r="E39" s="16">
        <f>1/85</f>
        <v>1.1764705882352941E-2</v>
      </c>
      <c r="F39" s="16">
        <f>0</f>
        <v>0</v>
      </c>
      <c r="G39" s="16">
        <f>2/85</f>
        <v>2.3529411764705882E-2</v>
      </c>
      <c r="H39" s="14">
        <f t="shared" si="9"/>
        <v>0</v>
      </c>
      <c r="I39" s="17">
        <f t="shared" si="10"/>
        <v>14.166666666666666</v>
      </c>
      <c r="J39" s="33"/>
      <c r="K39" s="17">
        <f t="shared" si="11"/>
        <v>0</v>
      </c>
      <c r="L39" s="3"/>
    </row>
    <row r="40" spans="1:12">
      <c r="A40" s="4" t="s">
        <v>14</v>
      </c>
      <c r="B40" s="14">
        <f t="shared" si="8"/>
        <v>0.12938856015779093</v>
      </c>
      <c r="C40" s="15" t="s">
        <v>13</v>
      </c>
      <c r="D40" s="16">
        <f>(26.9-3.5)/118</f>
        <v>0.19830508474576269</v>
      </c>
      <c r="E40" s="16">
        <f>1.2/118</f>
        <v>1.0169491525423728E-2</v>
      </c>
      <c r="F40" s="16">
        <f>0</f>
        <v>0</v>
      </c>
      <c r="G40" s="16">
        <f>3.5/118</f>
        <v>2.9661016949152543E-2</v>
      </c>
      <c r="H40" s="14">
        <f t="shared" si="9"/>
        <v>0</v>
      </c>
      <c r="I40" s="17">
        <f t="shared" si="10"/>
        <v>5.0427350427350435</v>
      </c>
      <c r="J40" s="33"/>
      <c r="K40" s="17">
        <f t="shared" si="11"/>
        <v>0</v>
      </c>
      <c r="L40" s="3"/>
    </row>
    <row r="41" spans="1:12">
      <c r="A41" s="4" t="s">
        <v>22</v>
      </c>
      <c r="B41" s="14">
        <f t="shared" si="8"/>
        <v>0.13808010171646537</v>
      </c>
      <c r="C41" s="15" t="s">
        <v>13</v>
      </c>
      <c r="D41" s="16">
        <v>0.121</v>
      </c>
      <c r="E41" s="16">
        <v>8.0000000000000002E-3</v>
      </c>
      <c r="F41" s="16">
        <v>3.0000000000000001E-3</v>
      </c>
      <c r="G41" s="16">
        <v>2.4E-2</v>
      </c>
      <c r="H41" s="14">
        <f t="shared" si="9"/>
        <v>2.3255813953488372E-2</v>
      </c>
      <c r="I41" s="17">
        <f t="shared" si="10"/>
        <v>8.2644628099173563</v>
      </c>
      <c r="J41" s="33"/>
      <c r="K41" s="17">
        <f t="shared" si="11"/>
        <v>0</v>
      </c>
      <c r="L41" s="3"/>
    </row>
    <row r="42" spans="1:12">
      <c r="A42" s="4" t="s">
        <v>26</v>
      </c>
      <c r="B42" s="14">
        <f t="shared" si="8"/>
        <v>0.6111934577050856</v>
      </c>
      <c r="C42" s="15" t="s">
        <v>13</v>
      </c>
      <c r="D42" s="16">
        <f>(32.9-2.8)/100</f>
        <v>0.30099999999999999</v>
      </c>
      <c r="E42" s="16">
        <f>15.2/100</f>
        <v>0.152</v>
      </c>
      <c r="F42" s="16">
        <f>46.3/100</f>
        <v>0.46299999999999997</v>
      </c>
      <c r="G42" s="16">
        <f>2.8/100</f>
        <v>2.7999999999999997E-2</v>
      </c>
      <c r="H42" s="14">
        <f t="shared" si="9"/>
        <v>1.0220750551876381</v>
      </c>
      <c r="I42" s="17">
        <f t="shared" si="10"/>
        <v>3.3222591362126246</v>
      </c>
      <c r="J42" s="33"/>
      <c r="K42" s="17">
        <f t="shared" si="11"/>
        <v>0</v>
      </c>
      <c r="L42" s="3"/>
    </row>
    <row r="43" spans="1:12">
      <c r="A43" s="4" t="s">
        <v>52</v>
      </c>
      <c r="B43" s="14">
        <f t="shared" si="8"/>
        <v>0.67132867132867124</v>
      </c>
      <c r="C43" s="15" t="s">
        <v>13</v>
      </c>
      <c r="D43" s="16">
        <f>11/40</f>
        <v>0.27500000000000002</v>
      </c>
      <c r="E43" s="16">
        <f>4/40</f>
        <v>0.1</v>
      </c>
      <c r="F43" s="16">
        <f>20/40</f>
        <v>0.5</v>
      </c>
      <c r="G43" s="16">
        <f>4/40</f>
        <v>0.1</v>
      </c>
      <c r="H43" s="14">
        <f t="shared" si="9"/>
        <v>1.3333333333333333</v>
      </c>
      <c r="I43" s="17">
        <f t="shared" si="10"/>
        <v>3.6363636363636362</v>
      </c>
      <c r="J43" s="33"/>
      <c r="K43" s="17">
        <f t="shared" si="11"/>
        <v>0</v>
      </c>
      <c r="L43" s="3"/>
    </row>
    <row r="44" spans="1:12">
      <c r="A44" s="4" t="s">
        <v>51</v>
      </c>
      <c r="B44" s="14">
        <f t="shared" si="8"/>
        <v>0.93846153846153846</v>
      </c>
      <c r="C44" s="15" t="s">
        <v>13</v>
      </c>
      <c r="D44" s="16">
        <v>0.04</v>
      </c>
      <c r="E44" s="16">
        <v>0.04</v>
      </c>
      <c r="F44" s="16">
        <v>0.1</v>
      </c>
      <c r="G44" s="16">
        <v>0</v>
      </c>
      <c r="H44" s="14">
        <f t="shared" si="9"/>
        <v>1.25</v>
      </c>
      <c r="I44" s="17">
        <f t="shared" si="10"/>
        <v>25</v>
      </c>
      <c r="J44" s="33"/>
      <c r="K44" s="17">
        <f t="shared" si="11"/>
        <v>0</v>
      </c>
      <c r="L44" s="3">
        <f>1300/40</f>
        <v>32.5</v>
      </c>
    </row>
    <row r="45" spans="1:12">
      <c r="A45" s="4" t="s">
        <v>49</v>
      </c>
      <c r="B45" s="14">
        <f t="shared" si="8"/>
        <v>1.1538461538461537</v>
      </c>
      <c r="C45" s="15" t="s">
        <v>13</v>
      </c>
      <c r="D45" s="16">
        <f>1/30</f>
        <v>3.3333333333333333E-2</v>
      </c>
      <c r="E45" s="16">
        <f>0.5/30</f>
        <v>1.6666666666666666E-2</v>
      </c>
      <c r="F45" s="16">
        <f>3.5/30</f>
        <v>0.11666666666666667</v>
      </c>
      <c r="G45" s="16">
        <f>0</f>
        <v>0</v>
      </c>
      <c r="H45" s="14">
        <f t="shared" si="9"/>
        <v>2.333333333333333</v>
      </c>
      <c r="I45" s="17">
        <f t="shared" si="10"/>
        <v>30</v>
      </c>
      <c r="J45" s="33"/>
      <c r="K45" s="17">
        <f t="shared" si="11"/>
        <v>0</v>
      </c>
      <c r="L45" s="3"/>
    </row>
    <row r="46" spans="1:12">
      <c r="A46" s="4" t="s">
        <v>15</v>
      </c>
      <c r="B46" s="14">
        <f t="shared" si="8"/>
        <v>0.12380090497737556</v>
      </c>
      <c r="C46" s="15" t="s">
        <v>13</v>
      </c>
      <c r="D46" s="16">
        <f>17/21</f>
        <v>0.80952380952380953</v>
      </c>
      <c r="E46" s="16">
        <f>0.1/21</f>
        <v>4.7619047619047623E-3</v>
      </c>
      <c r="F46" s="16">
        <f>0</f>
        <v>0</v>
      </c>
      <c r="G46" s="16">
        <f>0</f>
        <v>0</v>
      </c>
      <c r="H46" s="14">
        <f t="shared" si="9"/>
        <v>0</v>
      </c>
      <c r="I46" s="17">
        <f t="shared" si="10"/>
        <v>1.2352941176470589</v>
      </c>
      <c r="J46" s="33"/>
      <c r="K46" s="17">
        <f t="shared" si="11"/>
        <v>0</v>
      </c>
    </row>
    <row r="47" spans="1:12">
      <c r="A47" s="4" t="s">
        <v>59</v>
      </c>
      <c r="B47" s="14">
        <f t="shared" si="8"/>
        <v>1.2307692307692308</v>
      </c>
      <c r="C47" s="15" t="s">
        <v>13</v>
      </c>
      <c r="D47" s="16">
        <f>1/15</f>
        <v>6.6666666666666666E-2</v>
      </c>
      <c r="E47" s="16">
        <f>0/15</f>
        <v>0</v>
      </c>
      <c r="F47" s="16">
        <f>4/15</f>
        <v>0.26666666666666666</v>
      </c>
      <c r="G47" s="16">
        <v>0</v>
      </c>
      <c r="H47" s="14">
        <f t="shared" si="9"/>
        <v>4</v>
      </c>
      <c r="I47" s="17">
        <f t="shared" si="10"/>
        <v>15</v>
      </c>
      <c r="J47" s="33"/>
      <c r="K47" s="17">
        <f t="shared" si="11"/>
        <v>0</v>
      </c>
    </row>
    <row r="48" spans="1:12">
      <c r="A48" s="4" t="s">
        <v>53</v>
      </c>
      <c r="B48" s="14">
        <f t="shared" si="8"/>
        <v>1.4461538461538461</v>
      </c>
      <c r="C48" s="15" t="s">
        <v>13</v>
      </c>
      <c r="D48" s="16">
        <f>4/32</f>
        <v>0.125</v>
      </c>
      <c r="E48" s="16">
        <f>7/32</f>
        <v>0.21875</v>
      </c>
      <c r="F48" s="16">
        <f>16/32</f>
        <v>0.5</v>
      </c>
      <c r="G48" s="16">
        <f>2/32</f>
        <v>6.25E-2</v>
      </c>
      <c r="H48" s="14">
        <f t="shared" si="9"/>
        <v>1.4545454545454546</v>
      </c>
      <c r="I48" s="17">
        <f t="shared" si="10"/>
        <v>8</v>
      </c>
      <c r="J48" s="33"/>
      <c r="K48" s="17">
        <f t="shared" si="11"/>
        <v>0</v>
      </c>
    </row>
    <row r="49" spans="1:11">
      <c r="A49" s="4" t="s">
        <v>27</v>
      </c>
      <c r="B49" s="14">
        <f t="shared" si="8"/>
        <v>0.12307692307692308</v>
      </c>
      <c r="C49" s="15" t="s">
        <v>13</v>
      </c>
      <c r="D49" s="16">
        <v>0.13</v>
      </c>
      <c r="E49" s="16">
        <v>0</v>
      </c>
      <c r="F49" s="16">
        <v>0</v>
      </c>
      <c r="G49" s="16">
        <f>0.25/10</f>
        <v>2.5000000000000001E-2</v>
      </c>
      <c r="H49" s="14">
        <f t="shared" si="9"/>
        <v>0</v>
      </c>
      <c r="I49" s="17">
        <f t="shared" si="10"/>
        <v>7.6923076923076916</v>
      </c>
      <c r="J49" s="33"/>
      <c r="K49" s="17">
        <f t="shared" si="11"/>
        <v>0</v>
      </c>
    </row>
    <row r="50" spans="1:11">
      <c r="A50" s="4" t="s">
        <v>28</v>
      </c>
      <c r="B50" s="14">
        <f t="shared" si="8"/>
        <v>0.15970695970695969</v>
      </c>
      <c r="C50" s="15" t="s">
        <v>13</v>
      </c>
      <c r="D50" s="16">
        <v>0.04</v>
      </c>
      <c r="E50" s="16">
        <f>1/(3*28)</f>
        <v>1.1904761904761904E-2</v>
      </c>
      <c r="F50" s="16">
        <f>0</f>
        <v>0</v>
      </c>
      <c r="G50" s="16">
        <v>0.02</v>
      </c>
      <c r="H50" s="14">
        <f t="shared" si="9"/>
        <v>0</v>
      </c>
      <c r="I50" s="17">
        <f t="shared" si="10"/>
        <v>25</v>
      </c>
      <c r="J50" s="33"/>
      <c r="K50" s="17">
        <f t="shared" si="11"/>
        <v>0</v>
      </c>
    </row>
    <row r="51" spans="1:11">
      <c r="A51" s="4" t="s">
        <v>29</v>
      </c>
      <c r="B51" s="14">
        <f t="shared" si="8"/>
        <v>0.13035260644243474</v>
      </c>
      <c r="C51" s="15" t="s">
        <v>13</v>
      </c>
      <c r="D51" s="16">
        <f>(79.3-3.6)/100</f>
        <v>0.75700000000000001</v>
      </c>
      <c r="E51" s="16">
        <v>2.9000000000000001E-2</v>
      </c>
      <c r="F51" s="16">
        <v>7.0000000000000001E-3</v>
      </c>
      <c r="G51" s="16">
        <v>3.5999999999999997E-2</v>
      </c>
      <c r="H51" s="14">
        <f t="shared" si="9"/>
        <v>8.9058524173027988E-3</v>
      </c>
      <c r="I51" s="17">
        <f t="shared" si="10"/>
        <v>1.321003963011889</v>
      </c>
      <c r="J51" s="33"/>
      <c r="K51" s="17">
        <f t="shared" si="11"/>
        <v>0</v>
      </c>
    </row>
    <row r="52" spans="1:11">
      <c r="A52" s="4" t="s">
        <v>17</v>
      </c>
      <c r="B52" s="14">
        <f t="shared" si="8"/>
        <v>0.18021978021978022</v>
      </c>
      <c r="C52" s="15" t="s">
        <v>13</v>
      </c>
      <c r="D52" s="16">
        <f>7/123</f>
        <v>5.6910569105691054E-2</v>
      </c>
      <c r="E52" s="16">
        <f>1/123</f>
        <v>8.130081300813009E-3</v>
      </c>
      <c r="F52" s="16">
        <f>1/123</f>
        <v>8.130081300813009E-3</v>
      </c>
      <c r="G52" s="16">
        <f>8/123</f>
        <v>6.5040650406504072E-2</v>
      </c>
      <c r="H52" s="14">
        <f t="shared" si="9"/>
        <v>0.12500000000000003</v>
      </c>
      <c r="I52" s="17">
        <f t="shared" si="10"/>
        <v>17.571428571428573</v>
      </c>
      <c r="J52" s="33"/>
      <c r="K52" s="17">
        <f t="shared" si="11"/>
        <v>0</v>
      </c>
    </row>
    <row r="53" spans="1:11">
      <c r="A53" s="4" t="s">
        <v>18</v>
      </c>
      <c r="B53" s="14">
        <f t="shared" si="8"/>
        <v>0.1372005044136192</v>
      </c>
      <c r="C53" s="15" t="s">
        <v>13</v>
      </c>
      <c r="D53" s="16">
        <f>6.1/100</f>
        <v>6.0999999999999999E-2</v>
      </c>
      <c r="E53" s="16">
        <v>7.0000000000000001E-3</v>
      </c>
      <c r="F53" s="16">
        <v>0</v>
      </c>
      <c r="G53" s="16">
        <f>0.1/7</f>
        <v>1.4285714285714287E-2</v>
      </c>
      <c r="H53" s="14">
        <f t="shared" si="9"/>
        <v>0</v>
      </c>
      <c r="I53" s="17">
        <f t="shared" si="10"/>
        <v>16.393442622950818</v>
      </c>
      <c r="J53" s="33"/>
      <c r="K53" s="17">
        <f t="shared" si="11"/>
        <v>0</v>
      </c>
    </row>
    <row r="54" spans="1:11">
      <c r="A54" s="4" t="s">
        <v>30</v>
      </c>
      <c r="B54" s="14">
        <f t="shared" si="8"/>
        <v>0.14008097165991903</v>
      </c>
      <c r="C54" s="15" t="s">
        <v>13</v>
      </c>
      <c r="D54" s="16">
        <f>(13.3-1.9)/100</f>
        <v>0.114</v>
      </c>
      <c r="E54" s="16">
        <v>8.9999999999999993E-3</v>
      </c>
      <c r="F54" s="16">
        <v>3.0000000000000001E-3</v>
      </c>
      <c r="G54" s="16">
        <v>1.9E-2</v>
      </c>
      <c r="H54" s="14">
        <f t="shared" si="9"/>
        <v>2.4390243902439025E-2</v>
      </c>
      <c r="I54" s="17">
        <f t="shared" si="10"/>
        <v>8.7719298245614024</v>
      </c>
      <c r="J54" s="33"/>
      <c r="K54" s="17">
        <f t="shared" si="11"/>
        <v>0</v>
      </c>
    </row>
    <row r="55" spans="1:11">
      <c r="A55" s="4" t="s">
        <v>31</v>
      </c>
      <c r="B55" s="14">
        <f t="shared" si="8"/>
        <v>0.43076923076923079</v>
      </c>
      <c r="C55" s="15" t="s">
        <v>13</v>
      </c>
      <c r="D55" s="16">
        <f>(13-10)/28</f>
        <v>0.10714285714285714</v>
      </c>
      <c r="E55" s="16">
        <f>3/28</f>
        <v>0.10714285714285714</v>
      </c>
      <c r="F55" s="16">
        <f>2/28</f>
        <v>7.1428571428571425E-2</v>
      </c>
      <c r="G55" s="16">
        <f>10/28</f>
        <v>0.35714285714285715</v>
      </c>
      <c r="H55" s="14">
        <f t="shared" si="9"/>
        <v>0.33333333333333331</v>
      </c>
      <c r="I55" s="17">
        <f t="shared" si="10"/>
        <v>9.3333333333333339</v>
      </c>
      <c r="J55" s="33"/>
      <c r="K55" s="17">
        <f t="shared" si="11"/>
        <v>0</v>
      </c>
    </row>
    <row r="56" spans="1:11">
      <c r="A56" s="4" t="s">
        <v>32</v>
      </c>
      <c r="B56" s="14">
        <f t="shared" si="8"/>
        <v>0.14008097165991906</v>
      </c>
      <c r="C56" s="15" t="s">
        <v>13</v>
      </c>
      <c r="D56" s="16">
        <f>0.076</f>
        <v>7.5999999999999998E-2</v>
      </c>
      <c r="E56" s="16">
        <v>6.0000000000000001E-3</v>
      </c>
      <c r="F56" s="22">
        <v>2E-3</v>
      </c>
      <c r="G56" s="16">
        <v>4.0000000000000001E-3</v>
      </c>
      <c r="H56" s="14">
        <f t="shared" si="9"/>
        <v>2.4390243902439025E-2</v>
      </c>
      <c r="I56" s="17">
        <f t="shared" si="10"/>
        <v>13.157894736842106</v>
      </c>
      <c r="J56" s="33"/>
      <c r="K56" s="17">
        <f t="shared" si="11"/>
        <v>0</v>
      </c>
    </row>
    <row r="57" spans="1:11">
      <c r="A57" s="4" t="s">
        <v>33</v>
      </c>
      <c r="B57" s="14">
        <f t="shared" si="8"/>
        <v>2.1764102564102563</v>
      </c>
      <c r="C57" s="15" t="s">
        <v>13</v>
      </c>
      <c r="D57" s="16">
        <f>0.3/14</f>
        <v>2.1428571428571429E-2</v>
      </c>
      <c r="E57" s="16">
        <v>0.02</v>
      </c>
      <c r="F57" s="16">
        <v>0.15</v>
      </c>
      <c r="G57" s="16">
        <f>0.7/14</f>
        <v>4.9999999999999996E-2</v>
      </c>
      <c r="H57" s="14">
        <f t="shared" si="9"/>
        <v>3.6206896551724137</v>
      </c>
      <c r="I57" s="17">
        <f t="shared" si="10"/>
        <v>46.666666666666664</v>
      </c>
      <c r="J57" s="33"/>
      <c r="K57" s="17">
        <f t="shared" si="11"/>
        <v>0</v>
      </c>
    </row>
    <row r="58" spans="1:11">
      <c r="A58" s="4" t="s">
        <v>34</v>
      </c>
      <c r="B58" s="14">
        <f t="shared" si="8"/>
        <v>2.953846153846154</v>
      </c>
      <c r="C58" s="15" t="s">
        <v>13</v>
      </c>
      <c r="D58" s="16">
        <f>1/25</f>
        <v>0.04</v>
      </c>
      <c r="E58" s="16">
        <f>5/25</f>
        <v>0.2</v>
      </c>
      <c r="F58" s="16">
        <f>8/25</f>
        <v>0.32</v>
      </c>
      <c r="G58" s="16">
        <f>7/25</f>
        <v>0.28000000000000003</v>
      </c>
      <c r="H58" s="14">
        <f t="shared" si="9"/>
        <v>1.3333333333333333</v>
      </c>
      <c r="I58" s="17">
        <f t="shared" si="10"/>
        <v>25</v>
      </c>
      <c r="J58" s="33"/>
      <c r="K58" s="17">
        <f t="shared" si="11"/>
        <v>0</v>
      </c>
    </row>
    <row r="59" spans="1:11">
      <c r="A59" s="4" t="s">
        <v>19</v>
      </c>
      <c r="B59" s="14">
        <f t="shared" si="8"/>
        <v>3.0651583710407238</v>
      </c>
      <c r="C59" s="15" t="s">
        <v>13</v>
      </c>
      <c r="D59" s="16">
        <f>(13.6-6.8)/100</f>
        <v>6.8000000000000005E-2</v>
      </c>
      <c r="E59" s="16">
        <v>0.154</v>
      </c>
      <c r="F59" s="16">
        <v>0.65400000000000003</v>
      </c>
      <c r="G59" s="16">
        <v>6.8000000000000005E-2</v>
      </c>
      <c r="H59" s="14">
        <f t="shared" si="9"/>
        <v>2.9459459459459461</v>
      </c>
      <c r="I59" s="17">
        <f t="shared" si="10"/>
        <v>14.705882352941176</v>
      </c>
      <c r="J59" s="33"/>
      <c r="K59" s="17">
        <f t="shared" si="11"/>
        <v>0</v>
      </c>
    </row>
    <row r="60" spans="1:11">
      <c r="A60" s="4" t="s">
        <v>23</v>
      </c>
      <c r="B60" s="14">
        <f t="shared" si="8"/>
        <v>3.7948717948717952</v>
      </c>
      <c r="C60" s="15" t="s">
        <v>13</v>
      </c>
      <c r="D60" s="16">
        <v>0.06</v>
      </c>
      <c r="E60" s="16">
        <v>0.08</v>
      </c>
      <c r="F60" s="16">
        <v>0.76</v>
      </c>
      <c r="G60" s="16">
        <v>0.08</v>
      </c>
      <c r="H60" s="14">
        <f t="shared" si="9"/>
        <v>5.4285714285714279</v>
      </c>
      <c r="I60" s="17">
        <f t="shared" si="10"/>
        <v>16.666666666666668</v>
      </c>
      <c r="J60" s="33"/>
      <c r="K60" s="17">
        <f t="shared" si="11"/>
        <v>0</v>
      </c>
    </row>
    <row r="61" spans="1:11">
      <c r="A61" s="4" t="s">
        <v>54</v>
      </c>
      <c r="B61" s="14">
        <f t="shared" si="8"/>
        <v>3.1384615384615384</v>
      </c>
      <c r="C61" s="15" t="s">
        <v>13</v>
      </c>
      <c r="D61" s="16">
        <f>1/30</f>
        <v>3.3333333333333333E-2</v>
      </c>
      <c r="E61" s="16">
        <f>2/30</f>
        <v>6.6666666666666666E-2</v>
      </c>
      <c r="F61" s="16">
        <f>1/3</f>
        <v>0.33333333333333331</v>
      </c>
      <c r="G61" s="16">
        <v>0</v>
      </c>
      <c r="H61" s="14">
        <f t="shared" si="9"/>
        <v>3.333333333333333</v>
      </c>
      <c r="I61" s="17">
        <f t="shared" si="10"/>
        <v>30</v>
      </c>
      <c r="J61" s="33"/>
      <c r="K61" s="17">
        <f t="shared" si="11"/>
        <v>0</v>
      </c>
    </row>
    <row r="62" spans="1:11">
      <c r="A62" s="34" t="s">
        <v>65</v>
      </c>
      <c r="B62" s="2"/>
      <c r="C62" s="3"/>
      <c r="D62" s="20"/>
      <c r="E62" s="20"/>
      <c r="F62" s="20"/>
      <c r="G62" s="20"/>
      <c r="H62" s="21"/>
      <c r="I62" s="5"/>
      <c r="J62" s="35">
        <f>SUM(J37:J61)</f>
        <v>0</v>
      </c>
      <c r="K62" s="5"/>
    </row>
    <row r="63" spans="1:11">
      <c r="A63" s="36" t="s">
        <v>64</v>
      </c>
      <c r="B63" s="2"/>
      <c r="C63" s="3"/>
      <c r="D63" s="20"/>
      <c r="E63" s="20"/>
      <c r="F63" s="20"/>
      <c r="G63" s="20"/>
      <c r="H63" s="21"/>
      <c r="I63" s="5"/>
      <c r="J63" s="37">
        <f>J34+J62</f>
        <v>12</v>
      </c>
      <c r="K63" s="5"/>
    </row>
    <row r="64" spans="1:11">
      <c r="B64" s="2"/>
      <c r="C64" s="3"/>
      <c r="D64" s="20"/>
      <c r="E64" s="20"/>
      <c r="F64" s="20"/>
      <c r="G64" s="20"/>
      <c r="H64" s="21"/>
      <c r="I64" s="5"/>
      <c r="J64" s="5"/>
      <c r="K64" s="5"/>
    </row>
    <row r="65" spans="1:11">
      <c r="A65" s="4" t="s">
        <v>35</v>
      </c>
      <c r="B65" s="2"/>
      <c r="C65" s="3"/>
      <c r="D65" s="20"/>
      <c r="E65" s="20"/>
      <c r="F65" s="20"/>
      <c r="G65" s="20"/>
      <c r="H65" s="21"/>
      <c r="I65" s="5"/>
      <c r="J65" s="5"/>
      <c r="K65" s="5"/>
    </row>
    <row r="66" spans="1:11">
      <c r="A66" s="4" t="s">
        <v>12</v>
      </c>
      <c r="B66" s="14">
        <f t="shared" ref="B66:B81" si="12">(((((4*D66)+(4*E66))+(9*F66))/D66)*$B$4)/$B$3</f>
        <v>0.12307692307692308</v>
      </c>
      <c r="C66" s="15" t="s">
        <v>13</v>
      </c>
      <c r="D66" s="16">
        <f>1.25/10</f>
        <v>0.125</v>
      </c>
      <c r="E66" s="16">
        <v>0</v>
      </c>
      <c r="F66" s="16">
        <v>0</v>
      </c>
      <c r="G66" s="16">
        <f>0.25/10</f>
        <v>2.5000000000000001E-2</v>
      </c>
      <c r="H66" s="14">
        <f t="shared" ref="H66:H81" si="13">F66/(D66+E66)</f>
        <v>0</v>
      </c>
      <c r="I66" s="17">
        <f t="shared" ref="I66:I81" si="14">1/D66</f>
        <v>8</v>
      </c>
      <c r="J66" s="33"/>
      <c r="K66" s="17">
        <f t="shared" ref="K66:K81" si="15">I66*J66</f>
        <v>0</v>
      </c>
    </row>
    <row r="67" spans="1:11">
      <c r="A67" s="4" t="s">
        <v>25</v>
      </c>
      <c r="B67" s="14">
        <f t="shared" si="12"/>
        <v>1.8966555183946485</v>
      </c>
      <c r="C67" s="15" t="s">
        <v>13</v>
      </c>
      <c r="D67" s="16">
        <f>(21.6-12.4)/100</f>
        <v>9.2000000000000012E-2</v>
      </c>
      <c r="E67" s="16">
        <v>0.21199999999999999</v>
      </c>
      <c r="F67" s="16">
        <v>0.495</v>
      </c>
      <c r="G67" s="16">
        <v>0.124</v>
      </c>
      <c r="H67" s="14">
        <f t="shared" si="13"/>
        <v>1.6282894736842106</v>
      </c>
      <c r="I67" s="17">
        <f t="shared" si="14"/>
        <v>10.869565217391303</v>
      </c>
      <c r="J67" s="33"/>
      <c r="K67" s="17">
        <f t="shared" si="15"/>
        <v>0</v>
      </c>
    </row>
    <row r="68" spans="1:11">
      <c r="A68" s="4" t="s">
        <v>26</v>
      </c>
      <c r="B68" s="14">
        <f t="shared" si="12"/>
        <v>0.6111934577050856</v>
      </c>
      <c r="C68" s="15" t="s">
        <v>13</v>
      </c>
      <c r="D68" s="16">
        <f>(32.9-2.8)/100</f>
        <v>0.30099999999999999</v>
      </c>
      <c r="E68" s="16">
        <f>15.2/100</f>
        <v>0.152</v>
      </c>
      <c r="F68" s="16">
        <f>46.3/100</f>
        <v>0.46299999999999997</v>
      </c>
      <c r="G68" s="16">
        <f>2.8/100</f>
        <v>2.7999999999999997E-2</v>
      </c>
      <c r="H68" s="14">
        <f t="shared" si="13"/>
        <v>1.0220750551876381</v>
      </c>
      <c r="I68" s="17">
        <f t="shared" si="14"/>
        <v>3.3222591362126246</v>
      </c>
      <c r="J68" s="33"/>
      <c r="K68" s="17">
        <f t="shared" si="15"/>
        <v>0</v>
      </c>
    </row>
    <row r="69" spans="1:11">
      <c r="A69" s="4" t="s">
        <v>22</v>
      </c>
      <c r="B69" s="14">
        <f t="shared" si="12"/>
        <v>0.13808010171646537</v>
      </c>
      <c r="C69" s="15" t="s">
        <v>13</v>
      </c>
      <c r="D69" s="16">
        <v>0.121</v>
      </c>
      <c r="E69" s="16">
        <v>8.0000000000000002E-3</v>
      </c>
      <c r="F69" s="16">
        <v>3.0000000000000001E-3</v>
      </c>
      <c r="G69" s="16">
        <v>2.4E-2</v>
      </c>
      <c r="H69" s="14">
        <f t="shared" si="13"/>
        <v>2.3255813953488372E-2</v>
      </c>
      <c r="I69" s="17">
        <f t="shared" si="14"/>
        <v>8.2644628099173563</v>
      </c>
      <c r="J69" s="33"/>
      <c r="K69" s="17">
        <f t="shared" si="15"/>
        <v>0</v>
      </c>
    </row>
    <row r="70" spans="1:11">
      <c r="A70" s="4" t="s">
        <v>36</v>
      </c>
      <c r="B70" s="14">
        <f t="shared" si="12"/>
        <v>0.67132867132867124</v>
      </c>
      <c r="C70" s="15" t="s">
        <v>13</v>
      </c>
      <c r="D70" s="16">
        <f>11/40</f>
        <v>0.27500000000000002</v>
      </c>
      <c r="E70" s="16">
        <f>4/40</f>
        <v>0.1</v>
      </c>
      <c r="F70" s="16">
        <f>20/40</f>
        <v>0.5</v>
      </c>
      <c r="G70" s="16">
        <f>4/40</f>
        <v>0.1</v>
      </c>
      <c r="H70" s="14">
        <f t="shared" si="13"/>
        <v>1.3333333333333333</v>
      </c>
      <c r="I70" s="17">
        <f t="shared" si="14"/>
        <v>3.6363636363636362</v>
      </c>
      <c r="J70" s="33"/>
      <c r="K70" s="17">
        <f t="shared" si="15"/>
        <v>0</v>
      </c>
    </row>
    <row r="71" spans="1:11">
      <c r="A71" s="4" t="s">
        <v>49</v>
      </c>
      <c r="B71" s="14">
        <f t="shared" si="12"/>
        <v>1.1538461538461537</v>
      </c>
      <c r="C71" s="15" t="s">
        <v>13</v>
      </c>
      <c r="D71" s="16">
        <f>1/30</f>
        <v>3.3333333333333333E-2</v>
      </c>
      <c r="E71" s="16">
        <f>0.5/30</f>
        <v>1.6666666666666666E-2</v>
      </c>
      <c r="F71" s="16">
        <f>3.5/30</f>
        <v>0.11666666666666667</v>
      </c>
      <c r="G71" s="16">
        <f>0</f>
        <v>0</v>
      </c>
      <c r="H71" s="14">
        <f t="shared" si="13"/>
        <v>2.333333333333333</v>
      </c>
      <c r="I71" s="17">
        <f t="shared" si="14"/>
        <v>30</v>
      </c>
      <c r="J71" s="33"/>
      <c r="K71" s="17">
        <f t="shared" si="15"/>
        <v>0</v>
      </c>
    </row>
    <row r="72" spans="1:11">
      <c r="A72" s="4" t="s">
        <v>15</v>
      </c>
      <c r="B72" s="14">
        <f t="shared" si="12"/>
        <v>0.12380090497737556</v>
      </c>
      <c r="C72" s="15" t="s">
        <v>13</v>
      </c>
      <c r="D72" s="16">
        <f>17/21</f>
        <v>0.80952380952380953</v>
      </c>
      <c r="E72" s="16">
        <f>0.1/21</f>
        <v>4.7619047619047623E-3</v>
      </c>
      <c r="F72" s="16">
        <f>0</f>
        <v>0</v>
      </c>
      <c r="G72" s="16">
        <f>0</f>
        <v>0</v>
      </c>
      <c r="H72" s="14">
        <f t="shared" si="13"/>
        <v>0</v>
      </c>
      <c r="I72" s="17">
        <f t="shared" si="14"/>
        <v>1.2352941176470589</v>
      </c>
      <c r="J72" s="33"/>
      <c r="K72" s="17">
        <f t="shared" si="15"/>
        <v>0</v>
      </c>
    </row>
    <row r="73" spans="1:11">
      <c r="A73" s="4" t="s">
        <v>23</v>
      </c>
      <c r="B73" s="14">
        <f t="shared" si="12"/>
        <v>3.7948717948717952</v>
      </c>
      <c r="C73" s="15" t="s">
        <v>13</v>
      </c>
      <c r="D73" s="16">
        <v>0.06</v>
      </c>
      <c r="E73" s="16">
        <v>0.08</v>
      </c>
      <c r="F73" s="16">
        <v>0.76</v>
      </c>
      <c r="G73" s="16">
        <v>0.08</v>
      </c>
      <c r="H73" s="14">
        <f t="shared" si="13"/>
        <v>5.4285714285714279</v>
      </c>
      <c r="I73" s="17">
        <f t="shared" si="14"/>
        <v>16.666666666666668</v>
      </c>
      <c r="J73" s="33"/>
      <c r="K73" s="17">
        <f t="shared" si="15"/>
        <v>0</v>
      </c>
    </row>
    <row r="74" spans="1:11">
      <c r="A74" s="4" t="s">
        <v>53</v>
      </c>
      <c r="B74" s="14">
        <f t="shared" si="12"/>
        <v>1.4461538461538461</v>
      </c>
      <c r="C74" s="15" t="s">
        <v>13</v>
      </c>
      <c r="D74" s="16">
        <f>4/32</f>
        <v>0.125</v>
      </c>
      <c r="E74" s="16">
        <f>7/32</f>
        <v>0.21875</v>
      </c>
      <c r="F74" s="16">
        <f>16/32</f>
        <v>0.5</v>
      </c>
      <c r="G74" s="16">
        <f>2/32</f>
        <v>6.25E-2</v>
      </c>
      <c r="H74" s="14">
        <f t="shared" si="13"/>
        <v>1.4545454545454546</v>
      </c>
      <c r="I74" s="17">
        <f t="shared" si="14"/>
        <v>8</v>
      </c>
      <c r="J74" s="33"/>
      <c r="K74" s="17">
        <f t="shared" si="15"/>
        <v>0</v>
      </c>
    </row>
    <row r="75" spans="1:11">
      <c r="A75" s="4" t="s">
        <v>55</v>
      </c>
      <c r="B75" s="14">
        <f t="shared" si="12"/>
        <v>0.16828290193219103</v>
      </c>
      <c r="C75" s="15" t="s">
        <v>13</v>
      </c>
      <c r="D75" s="16">
        <f>(77.9-14.6)/100</f>
        <v>0.63300000000000001</v>
      </c>
      <c r="E75" s="16">
        <v>0.129</v>
      </c>
      <c r="F75" s="16">
        <v>4.5999999999999999E-2</v>
      </c>
      <c r="G75" s="16">
        <v>0.14599999999999999</v>
      </c>
      <c r="H75" s="14">
        <f t="shared" si="13"/>
        <v>6.0367454068241469E-2</v>
      </c>
      <c r="I75" s="17">
        <f t="shared" si="14"/>
        <v>1.5797788309636651</v>
      </c>
      <c r="J75" s="33"/>
      <c r="K75" s="17">
        <f t="shared" si="15"/>
        <v>0</v>
      </c>
    </row>
    <row r="76" spans="1:11">
      <c r="A76" s="4" t="s">
        <v>29</v>
      </c>
      <c r="B76" s="14">
        <f t="shared" si="12"/>
        <v>0.13035260644243474</v>
      </c>
      <c r="C76" s="15" t="s">
        <v>13</v>
      </c>
      <c r="D76" s="16">
        <f>(79.3-3.6)/100</f>
        <v>0.75700000000000001</v>
      </c>
      <c r="E76" s="16">
        <v>2.9000000000000001E-2</v>
      </c>
      <c r="F76" s="16">
        <v>7.0000000000000001E-3</v>
      </c>
      <c r="G76" s="16">
        <v>3.5999999999999997E-2</v>
      </c>
      <c r="H76" s="14">
        <f t="shared" si="13"/>
        <v>8.9058524173027988E-3</v>
      </c>
      <c r="I76" s="17">
        <f t="shared" si="14"/>
        <v>1.321003963011889</v>
      </c>
      <c r="J76" s="33"/>
      <c r="K76" s="17">
        <f t="shared" si="15"/>
        <v>0</v>
      </c>
    </row>
    <row r="77" spans="1:11">
      <c r="A77" s="4" t="s">
        <v>37</v>
      </c>
      <c r="B77" s="14">
        <f t="shared" si="12"/>
        <v>1.1874493927125505</v>
      </c>
      <c r="C77" s="15" t="s">
        <v>13</v>
      </c>
      <c r="D77" s="16">
        <f>(24-8.8)/100</f>
        <v>0.152</v>
      </c>
      <c r="E77" s="16">
        <v>0.19400000000000001</v>
      </c>
      <c r="F77" s="16">
        <v>0.498</v>
      </c>
      <c r="G77" s="16">
        <v>8.7999999999999995E-2</v>
      </c>
      <c r="H77" s="14">
        <f t="shared" si="13"/>
        <v>1.4393063583815029</v>
      </c>
      <c r="I77" s="17">
        <f t="shared" si="14"/>
        <v>6.5789473684210531</v>
      </c>
      <c r="J77" s="33"/>
      <c r="K77" s="17">
        <f t="shared" si="15"/>
        <v>0</v>
      </c>
    </row>
    <row r="78" spans="1:11">
      <c r="A78" s="4" t="s">
        <v>17</v>
      </c>
      <c r="B78" s="14">
        <f t="shared" si="12"/>
        <v>0.18021978021978022</v>
      </c>
      <c r="C78" s="15" t="s">
        <v>13</v>
      </c>
      <c r="D78" s="16">
        <f>7/123</f>
        <v>5.6910569105691054E-2</v>
      </c>
      <c r="E78" s="16">
        <f>1/123</f>
        <v>8.130081300813009E-3</v>
      </c>
      <c r="F78" s="16">
        <f>1/123</f>
        <v>8.130081300813009E-3</v>
      </c>
      <c r="G78" s="16">
        <f>8/123</f>
        <v>6.5040650406504072E-2</v>
      </c>
      <c r="H78" s="14">
        <f t="shared" si="13"/>
        <v>0.12500000000000003</v>
      </c>
      <c r="I78" s="17">
        <f t="shared" si="14"/>
        <v>17.571428571428573</v>
      </c>
      <c r="J78" s="33"/>
      <c r="K78" s="17">
        <f t="shared" si="15"/>
        <v>0</v>
      </c>
    </row>
    <row r="79" spans="1:11">
      <c r="A79" s="4" t="s">
        <v>18</v>
      </c>
      <c r="B79" s="14">
        <f t="shared" si="12"/>
        <v>0.1372005044136192</v>
      </c>
      <c r="C79" s="15" t="s">
        <v>13</v>
      </c>
      <c r="D79" s="16">
        <f>6.1/100</f>
        <v>6.0999999999999999E-2</v>
      </c>
      <c r="E79" s="16">
        <v>7.0000000000000001E-3</v>
      </c>
      <c r="F79" s="16">
        <v>0</v>
      </c>
      <c r="G79" s="16">
        <f>0.1/7</f>
        <v>1.4285714285714287E-2</v>
      </c>
      <c r="H79" s="14">
        <f t="shared" si="13"/>
        <v>0</v>
      </c>
      <c r="I79" s="17">
        <f t="shared" si="14"/>
        <v>16.393442622950818</v>
      </c>
      <c r="J79" s="33"/>
      <c r="K79" s="17">
        <f t="shared" si="15"/>
        <v>0</v>
      </c>
    </row>
    <row r="80" spans="1:11">
      <c r="A80" s="4" t="s">
        <v>30</v>
      </c>
      <c r="B80" s="14">
        <f t="shared" si="12"/>
        <v>0.14008097165991903</v>
      </c>
      <c r="C80" s="15" t="s">
        <v>13</v>
      </c>
      <c r="D80" s="16">
        <f>(13.3-1.9)/100</f>
        <v>0.114</v>
      </c>
      <c r="E80" s="16">
        <v>8.9999999999999993E-3</v>
      </c>
      <c r="F80" s="16">
        <v>3.0000000000000001E-3</v>
      </c>
      <c r="G80" s="16">
        <v>1.9E-2</v>
      </c>
      <c r="H80" s="14">
        <f t="shared" si="13"/>
        <v>2.4390243902439025E-2</v>
      </c>
      <c r="I80" s="17">
        <f t="shared" si="14"/>
        <v>8.7719298245614024</v>
      </c>
      <c r="J80" s="33"/>
      <c r="K80" s="17">
        <f t="shared" si="15"/>
        <v>0</v>
      </c>
    </row>
    <row r="81" spans="1:11">
      <c r="A81" s="4" t="s">
        <v>19</v>
      </c>
      <c r="B81" s="14">
        <f t="shared" si="12"/>
        <v>3.0651583710407238</v>
      </c>
      <c r="C81" s="15" t="s">
        <v>13</v>
      </c>
      <c r="D81" s="16">
        <f>(13.6-6.8)/100</f>
        <v>6.8000000000000005E-2</v>
      </c>
      <c r="E81" s="16">
        <v>0.154</v>
      </c>
      <c r="F81" s="16">
        <v>0.65400000000000003</v>
      </c>
      <c r="G81" s="16">
        <v>6.8000000000000005E-2</v>
      </c>
      <c r="H81" s="14">
        <f t="shared" si="13"/>
        <v>2.9459459459459461</v>
      </c>
      <c r="I81" s="17">
        <f t="shared" si="14"/>
        <v>14.705882352941176</v>
      </c>
      <c r="J81" s="33"/>
      <c r="K81" s="17">
        <f t="shared" si="15"/>
        <v>0</v>
      </c>
    </row>
    <row r="82" spans="1:11">
      <c r="A82" s="34" t="s">
        <v>65</v>
      </c>
      <c r="B82" s="2"/>
      <c r="C82" s="3"/>
      <c r="D82" s="20"/>
      <c r="E82" s="20"/>
      <c r="F82" s="20"/>
      <c r="G82" s="20"/>
      <c r="H82" s="21"/>
      <c r="I82" s="5"/>
      <c r="J82" s="38">
        <f>SUM(J66:J81)</f>
        <v>0</v>
      </c>
      <c r="K82" s="5"/>
    </row>
    <row r="83" spans="1:11">
      <c r="A83" s="36" t="s">
        <v>64</v>
      </c>
      <c r="B83" s="2"/>
      <c r="C83" s="3"/>
      <c r="D83" s="20"/>
      <c r="E83" s="20"/>
      <c r="F83" s="20"/>
      <c r="G83" s="20"/>
      <c r="H83" s="21"/>
      <c r="I83" s="5"/>
      <c r="J83" s="39">
        <f>J63+J82</f>
        <v>12</v>
      </c>
      <c r="K83" s="5"/>
    </row>
    <row r="84" spans="1:11">
      <c r="B84" s="2"/>
      <c r="C84" s="3"/>
      <c r="D84" s="20"/>
      <c r="E84" s="20"/>
      <c r="F84" s="20"/>
      <c r="G84" s="20"/>
      <c r="H84" s="2"/>
      <c r="I84" s="5"/>
      <c r="J84" s="5"/>
      <c r="K84" s="5"/>
    </row>
    <row r="85" spans="1:11">
      <c r="A85" s="4" t="s">
        <v>38</v>
      </c>
      <c r="B85" s="2"/>
      <c r="C85" s="3"/>
      <c r="D85" s="20"/>
      <c r="E85" s="20"/>
      <c r="F85" s="20"/>
      <c r="G85" s="20"/>
      <c r="H85" s="2"/>
      <c r="I85" s="5"/>
      <c r="J85" s="5"/>
      <c r="K85" s="5"/>
    </row>
    <row r="86" spans="1:11">
      <c r="A86" s="4" t="s">
        <v>39</v>
      </c>
      <c r="B86" s="14">
        <f t="shared" ref="B86:B113" si="16">(((((4*D86)+(4*E86))+(9*F86))/D86)*$B$4)/$B$3</f>
        <v>0.93846153846153824</v>
      </c>
      <c r="C86" s="15" t="s">
        <v>13</v>
      </c>
      <c r="D86" s="16">
        <f>1/5</f>
        <v>0.2</v>
      </c>
      <c r="E86" s="16">
        <f>1/5</f>
        <v>0.2</v>
      </c>
      <c r="F86" s="16">
        <f>2.5/5</f>
        <v>0.5</v>
      </c>
      <c r="G86" s="16">
        <v>0</v>
      </c>
      <c r="H86" s="14">
        <f t="shared" ref="H86:H113" si="17">F86/(D86+E86)</f>
        <v>1.25</v>
      </c>
      <c r="I86" s="17">
        <f t="shared" ref="I86:I113" si="18">1/D86</f>
        <v>5</v>
      </c>
      <c r="J86" s="33"/>
      <c r="K86" s="17">
        <f t="shared" ref="K86:K113" si="19">I86*J86</f>
        <v>0</v>
      </c>
    </row>
    <row r="87" spans="1:11">
      <c r="A87" s="4" t="s">
        <v>58</v>
      </c>
      <c r="B87" s="14">
        <f t="shared" si="16"/>
        <v>0.12551408987052551</v>
      </c>
      <c r="C87" s="15" t="s">
        <v>13</v>
      </c>
      <c r="D87" s="16">
        <f>0.101</f>
        <v>0.10100000000000001</v>
      </c>
      <c r="E87" s="16">
        <v>2E-3</v>
      </c>
      <c r="F87" s="16">
        <v>0</v>
      </c>
      <c r="G87" s="16">
        <v>1.2E-2</v>
      </c>
      <c r="H87" s="14">
        <f t="shared" si="17"/>
        <v>0</v>
      </c>
      <c r="I87" s="17">
        <f t="shared" si="18"/>
        <v>9.9009900990099009</v>
      </c>
      <c r="J87" s="33"/>
      <c r="K87" s="17">
        <f t="shared" si="19"/>
        <v>0</v>
      </c>
    </row>
    <row r="88" spans="1:11">
      <c r="A88" s="4" t="s">
        <v>25</v>
      </c>
      <c r="B88" s="14">
        <f t="shared" si="16"/>
        <v>1.8966555183946485</v>
      </c>
      <c r="C88" s="15" t="s">
        <v>13</v>
      </c>
      <c r="D88" s="16">
        <f>(21.6-12.4)/100</f>
        <v>9.2000000000000012E-2</v>
      </c>
      <c r="E88" s="16">
        <v>0.21199999999999999</v>
      </c>
      <c r="F88" s="16">
        <v>0.495</v>
      </c>
      <c r="G88" s="16">
        <v>0.124</v>
      </c>
      <c r="H88" s="14">
        <f t="shared" si="17"/>
        <v>1.6282894736842106</v>
      </c>
      <c r="I88" s="17">
        <f t="shared" si="18"/>
        <v>10.869565217391303</v>
      </c>
      <c r="J88" s="33"/>
      <c r="K88" s="17">
        <f t="shared" si="19"/>
        <v>0</v>
      </c>
    </row>
    <row r="89" spans="1:11">
      <c r="A89" s="4" t="s">
        <v>12</v>
      </c>
      <c r="B89" s="14">
        <f t="shared" si="16"/>
        <v>0.12307692307692308</v>
      </c>
      <c r="C89" s="15" t="s">
        <v>13</v>
      </c>
      <c r="D89" s="16">
        <f>1.25/10</f>
        <v>0.125</v>
      </c>
      <c r="E89" s="16">
        <v>0</v>
      </c>
      <c r="F89" s="16">
        <v>0</v>
      </c>
      <c r="G89" s="16">
        <f>0.25/10</f>
        <v>2.5000000000000001E-2</v>
      </c>
      <c r="H89" s="14">
        <f t="shared" si="17"/>
        <v>0</v>
      </c>
      <c r="I89" s="17">
        <f t="shared" si="18"/>
        <v>8</v>
      </c>
      <c r="J89" s="33"/>
      <c r="K89" s="17">
        <f t="shared" si="19"/>
        <v>0</v>
      </c>
    </row>
    <row r="90" spans="1:11">
      <c r="A90" s="4" t="s">
        <v>33</v>
      </c>
      <c r="B90" s="14">
        <f t="shared" si="16"/>
        <v>2.1764102564102563</v>
      </c>
      <c r="C90" s="15" t="s">
        <v>13</v>
      </c>
      <c r="D90" s="16">
        <f>0.3/14</f>
        <v>2.1428571428571429E-2</v>
      </c>
      <c r="E90" s="16">
        <v>0.02</v>
      </c>
      <c r="F90" s="16">
        <v>0.15</v>
      </c>
      <c r="G90" s="16">
        <f>0.7/14</f>
        <v>4.9999999999999996E-2</v>
      </c>
      <c r="H90" s="14">
        <f t="shared" si="17"/>
        <v>3.6206896551724137</v>
      </c>
      <c r="I90" s="17">
        <f t="shared" si="18"/>
        <v>46.666666666666664</v>
      </c>
      <c r="J90" s="33"/>
      <c r="K90" s="17">
        <f t="shared" si="19"/>
        <v>0</v>
      </c>
    </row>
    <row r="91" spans="1:11">
      <c r="A91" s="4" t="s">
        <v>21</v>
      </c>
      <c r="B91" s="14">
        <f t="shared" si="16"/>
        <v>0.14358974358974361</v>
      </c>
      <c r="C91" s="15" t="s">
        <v>13</v>
      </c>
      <c r="D91" s="16">
        <f>6/85</f>
        <v>7.0588235294117646E-2</v>
      </c>
      <c r="E91" s="16">
        <f>1/85</f>
        <v>1.1764705882352941E-2</v>
      </c>
      <c r="F91" s="16">
        <f>0</f>
        <v>0</v>
      </c>
      <c r="G91" s="16">
        <f>2/85</f>
        <v>2.3529411764705882E-2</v>
      </c>
      <c r="H91" s="14">
        <f t="shared" si="17"/>
        <v>0</v>
      </c>
      <c r="I91" s="17">
        <f t="shared" si="18"/>
        <v>14.166666666666666</v>
      </c>
      <c r="J91" s="33"/>
      <c r="K91" s="17">
        <f t="shared" si="19"/>
        <v>0</v>
      </c>
    </row>
    <row r="92" spans="1:11">
      <c r="A92" s="4" t="s">
        <v>40</v>
      </c>
      <c r="B92" s="14">
        <f t="shared" si="16"/>
        <v>0.21756021756021754</v>
      </c>
      <c r="C92" s="15" t="s">
        <v>13</v>
      </c>
      <c r="D92" s="23">
        <f>(14.8-4.9)/100</f>
        <v>9.9000000000000005E-2</v>
      </c>
      <c r="E92" s="23">
        <v>5.8000000000000003E-2</v>
      </c>
      <c r="F92" s="16">
        <v>8.0000000000000002E-3</v>
      </c>
      <c r="G92" s="16">
        <v>4.9000000000000002E-2</v>
      </c>
      <c r="H92" s="14">
        <f t="shared" si="17"/>
        <v>5.0955414012738856E-2</v>
      </c>
      <c r="I92" s="17">
        <f t="shared" si="18"/>
        <v>10.1010101010101</v>
      </c>
      <c r="J92" s="33"/>
      <c r="K92" s="17">
        <f t="shared" si="19"/>
        <v>0</v>
      </c>
    </row>
    <row r="93" spans="1:11">
      <c r="A93" s="4" t="s">
        <v>14</v>
      </c>
      <c r="B93" s="14">
        <f t="shared" si="16"/>
        <v>0.12938856015779093</v>
      </c>
      <c r="C93" s="15" t="s">
        <v>13</v>
      </c>
      <c r="D93" s="16">
        <f>(26.9-3.5)/118</f>
        <v>0.19830508474576269</v>
      </c>
      <c r="E93" s="16">
        <f>1.2/118</f>
        <v>1.0169491525423728E-2</v>
      </c>
      <c r="F93" s="16">
        <f>0</f>
        <v>0</v>
      </c>
      <c r="G93" s="16">
        <f>3.5/118</f>
        <v>2.9661016949152543E-2</v>
      </c>
      <c r="H93" s="14">
        <f t="shared" si="17"/>
        <v>0</v>
      </c>
      <c r="I93" s="17">
        <f t="shared" si="18"/>
        <v>5.0427350427350435</v>
      </c>
      <c r="J93" s="33"/>
      <c r="K93" s="17">
        <f t="shared" si="19"/>
        <v>0</v>
      </c>
    </row>
    <row r="94" spans="1:11">
      <c r="A94" s="4" t="s">
        <v>22</v>
      </c>
      <c r="B94" s="14">
        <f t="shared" si="16"/>
        <v>0.13808010171646537</v>
      </c>
      <c r="C94" s="15" t="s">
        <v>13</v>
      </c>
      <c r="D94" s="16">
        <v>0.121</v>
      </c>
      <c r="E94" s="16">
        <v>8.0000000000000002E-3</v>
      </c>
      <c r="F94" s="16">
        <v>3.0000000000000001E-3</v>
      </c>
      <c r="G94" s="16">
        <v>2.4E-2</v>
      </c>
      <c r="H94" s="14">
        <f t="shared" si="17"/>
        <v>2.3255813953488372E-2</v>
      </c>
      <c r="I94" s="17">
        <f t="shared" si="18"/>
        <v>8.2644628099173563</v>
      </c>
      <c r="J94" s="33"/>
      <c r="K94" s="17">
        <f t="shared" si="19"/>
        <v>0</v>
      </c>
    </row>
    <row r="95" spans="1:11">
      <c r="A95" s="4" t="s">
        <v>41</v>
      </c>
      <c r="B95" s="14">
        <f t="shared" si="16"/>
        <v>0.15330316742081446</v>
      </c>
      <c r="C95" s="15" t="s">
        <v>13</v>
      </c>
      <c r="D95" s="16">
        <f>17/100</f>
        <v>0.17</v>
      </c>
      <c r="E95" s="16">
        <f>2.6/100</f>
        <v>2.6000000000000002E-2</v>
      </c>
      <c r="F95" s="16">
        <f>0.7/100</f>
        <v>6.9999999999999993E-3</v>
      </c>
      <c r="G95" s="16">
        <f>2.3/100</f>
        <v>2.3E-2</v>
      </c>
      <c r="H95" s="14">
        <f t="shared" si="17"/>
        <v>3.5714285714285712E-2</v>
      </c>
      <c r="I95" s="17">
        <f t="shared" si="18"/>
        <v>5.8823529411764701</v>
      </c>
      <c r="J95" s="33"/>
      <c r="K95" s="17">
        <f t="shared" si="19"/>
        <v>0</v>
      </c>
    </row>
    <row r="96" spans="1:11">
      <c r="A96" s="4" t="s">
        <v>56</v>
      </c>
      <c r="B96" s="14">
        <f t="shared" ref="B96:B97" si="20">(((((4*D96)+(4*E96))+(9*F96))/D96)*$B$4)/$B$3</f>
        <v>0.74461538461538468</v>
      </c>
      <c r="C96" s="15" t="s">
        <v>13</v>
      </c>
      <c r="D96" s="16">
        <f>5/110</f>
        <v>4.5454545454545456E-2</v>
      </c>
      <c r="E96" s="16">
        <f>14/110</f>
        <v>0.12727272727272726</v>
      </c>
      <c r="F96" s="16">
        <f>5/110</f>
        <v>4.5454545454545456E-2</v>
      </c>
      <c r="G96" s="16">
        <v>0</v>
      </c>
      <c r="H96" s="14">
        <f t="shared" ref="H96:H97" si="21">F96/(D96+E96)</f>
        <v>0.26315789473684209</v>
      </c>
      <c r="I96" s="17">
        <f t="shared" ref="I96:I97" si="22">1/D96</f>
        <v>22</v>
      </c>
      <c r="J96" s="33"/>
      <c r="K96" s="17">
        <f t="shared" ref="K96:K97" si="23">I96*J96</f>
        <v>0</v>
      </c>
    </row>
    <row r="97" spans="1:11">
      <c r="A97" s="4" t="s">
        <v>54</v>
      </c>
      <c r="B97" s="14">
        <f t="shared" si="20"/>
        <v>3.1384615384615384</v>
      </c>
      <c r="C97" s="15" t="s">
        <v>13</v>
      </c>
      <c r="D97" s="16">
        <f>1/30</f>
        <v>3.3333333333333333E-2</v>
      </c>
      <c r="E97" s="16">
        <f>2/30</f>
        <v>6.6666666666666666E-2</v>
      </c>
      <c r="F97" s="16">
        <f>1/3</f>
        <v>0.33333333333333331</v>
      </c>
      <c r="G97" s="16">
        <v>0</v>
      </c>
      <c r="H97" s="14">
        <f t="shared" si="21"/>
        <v>3.333333333333333</v>
      </c>
      <c r="I97" s="17">
        <f t="shared" si="22"/>
        <v>30</v>
      </c>
      <c r="J97" s="33"/>
      <c r="K97" s="17">
        <f t="shared" si="23"/>
        <v>0</v>
      </c>
    </row>
    <row r="98" spans="1:11">
      <c r="A98" s="4" t="s">
        <v>57</v>
      </c>
      <c r="B98" s="14">
        <f t="shared" si="16"/>
        <v>0.994871794871795</v>
      </c>
      <c r="C98" s="15" t="s">
        <v>13</v>
      </c>
      <c r="D98" s="16">
        <f>3/75</f>
        <v>0.04</v>
      </c>
      <c r="E98" s="16">
        <f>10/75</f>
        <v>0.13333333333333333</v>
      </c>
      <c r="F98" s="16">
        <f>5/75</f>
        <v>6.6666666666666666E-2</v>
      </c>
      <c r="G98" s="16">
        <f>5/75</f>
        <v>6.6666666666666666E-2</v>
      </c>
      <c r="H98" s="14">
        <f t="shared" si="17"/>
        <v>0.38461538461538458</v>
      </c>
      <c r="I98" s="17">
        <f t="shared" si="18"/>
        <v>25</v>
      </c>
      <c r="J98" s="33"/>
      <c r="K98" s="17">
        <f t="shared" si="19"/>
        <v>0</v>
      </c>
    </row>
    <row r="99" spans="1:11">
      <c r="A99" s="4" t="s">
        <v>34</v>
      </c>
      <c r="B99" s="14">
        <f t="shared" si="16"/>
        <v>2.953846153846154</v>
      </c>
      <c r="C99" s="15" t="s">
        <v>13</v>
      </c>
      <c r="D99" s="16">
        <f>1/25</f>
        <v>0.04</v>
      </c>
      <c r="E99" s="16">
        <f>5/25</f>
        <v>0.2</v>
      </c>
      <c r="F99" s="16">
        <f>8/25</f>
        <v>0.32</v>
      </c>
      <c r="G99" s="16">
        <f>7/25</f>
        <v>0.28000000000000003</v>
      </c>
      <c r="H99" s="14">
        <f t="shared" si="17"/>
        <v>1.3333333333333333</v>
      </c>
      <c r="I99" s="17">
        <f t="shared" si="18"/>
        <v>25</v>
      </c>
      <c r="J99" s="33"/>
      <c r="K99" s="17">
        <f t="shared" si="19"/>
        <v>0</v>
      </c>
    </row>
    <row r="100" spans="1:11">
      <c r="A100" s="4" t="s">
        <v>49</v>
      </c>
      <c r="B100" s="14">
        <f t="shared" si="16"/>
        <v>1.1538461538461537</v>
      </c>
      <c r="C100" s="15" t="s">
        <v>13</v>
      </c>
      <c r="D100" s="16">
        <f>1/30</f>
        <v>3.3333333333333333E-2</v>
      </c>
      <c r="E100" s="16">
        <f>0.5/30</f>
        <v>1.6666666666666666E-2</v>
      </c>
      <c r="F100" s="16">
        <f>3.5/30</f>
        <v>0.11666666666666667</v>
      </c>
      <c r="G100" s="16">
        <f>0</f>
        <v>0</v>
      </c>
      <c r="H100" s="14">
        <f t="shared" si="17"/>
        <v>2.333333333333333</v>
      </c>
      <c r="I100" s="17">
        <f t="shared" si="18"/>
        <v>30</v>
      </c>
      <c r="J100" s="33"/>
      <c r="K100" s="17">
        <f t="shared" si="19"/>
        <v>0</v>
      </c>
    </row>
    <row r="101" spans="1:11">
      <c r="A101" s="4" t="s">
        <v>15</v>
      </c>
      <c r="B101" s="14">
        <f t="shared" si="16"/>
        <v>0.12380090497737556</v>
      </c>
      <c r="C101" s="15" t="s">
        <v>13</v>
      </c>
      <c r="D101" s="16">
        <f>17/21</f>
        <v>0.80952380952380953</v>
      </c>
      <c r="E101" s="16">
        <f>0.1/21</f>
        <v>4.7619047619047623E-3</v>
      </c>
      <c r="F101" s="16">
        <f>0</f>
        <v>0</v>
      </c>
      <c r="G101" s="16">
        <f>0</f>
        <v>0</v>
      </c>
      <c r="H101" s="14">
        <f t="shared" si="17"/>
        <v>0</v>
      </c>
      <c r="I101" s="17">
        <f t="shared" si="18"/>
        <v>1.2352941176470589</v>
      </c>
      <c r="J101" s="33"/>
      <c r="K101" s="17">
        <f t="shared" si="19"/>
        <v>0</v>
      </c>
    </row>
    <row r="102" spans="1:11">
      <c r="A102" s="4" t="s">
        <v>59</v>
      </c>
      <c r="B102" s="14">
        <f t="shared" si="16"/>
        <v>1.2307692307692308</v>
      </c>
      <c r="C102" s="15" t="s">
        <v>13</v>
      </c>
      <c r="D102" s="16">
        <f>1/15</f>
        <v>6.6666666666666666E-2</v>
      </c>
      <c r="E102" s="16">
        <f>0/15</f>
        <v>0</v>
      </c>
      <c r="F102" s="16">
        <f>4/15</f>
        <v>0.26666666666666666</v>
      </c>
      <c r="G102" s="16">
        <v>0</v>
      </c>
      <c r="H102" s="14">
        <f t="shared" si="17"/>
        <v>4</v>
      </c>
      <c r="I102" s="17">
        <f t="shared" si="18"/>
        <v>15</v>
      </c>
      <c r="J102" s="33"/>
      <c r="K102" s="17">
        <f t="shared" si="19"/>
        <v>0</v>
      </c>
    </row>
    <row r="103" spans="1:11">
      <c r="A103" s="4" t="s">
        <v>60</v>
      </c>
      <c r="B103" s="14">
        <f t="shared" si="16"/>
        <v>0.6518518518518519</v>
      </c>
      <c r="C103" s="15" t="s">
        <v>13</v>
      </c>
      <c r="D103" s="16">
        <f>(10-1.9)/100</f>
        <v>8.1000000000000003E-2</v>
      </c>
      <c r="E103" s="16">
        <v>0.33</v>
      </c>
      <c r="F103" s="16">
        <v>8.0000000000000002E-3</v>
      </c>
      <c r="G103" s="16">
        <v>1.9E-2</v>
      </c>
      <c r="H103" s="14">
        <f t="shared" si="17"/>
        <v>1.9464720194647202E-2</v>
      </c>
      <c r="I103" s="17">
        <f t="shared" si="18"/>
        <v>12.345679012345679</v>
      </c>
      <c r="J103" s="33"/>
      <c r="K103" s="17">
        <f t="shared" si="19"/>
        <v>0</v>
      </c>
    </row>
    <row r="104" spans="1:11">
      <c r="A104" s="4" t="s">
        <v>42</v>
      </c>
      <c r="B104" s="14">
        <f t="shared" si="16"/>
        <v>3.7948717948717952</v>
      </c>
      <c r="C104" s="15" t="s">
        <v>13</v>
      </c>
      <c r="D104" s="16">
        <v>0.06</v>
      </c>
      <c r="E104" s="16">
        <v>0.08</v>
      </c>
      <c r="F104" s="16">
        <v>0.76</v>
      </c>
      <c r="G104" s="16">
        <v>0.08</v>
      </c>
      <c r="H104" s="14">
        <f t="shared" si="17"/>
        <v>5.4285714285714279</v>
      </c>
      <c r="I104" s="17">
        <f t="shared" si="18"/>
        <v>16.666666666666668</v>
      </c>
      <c r="J104" s="33"/>
      <c r="K104" s="17">
        <f t="shared" si="19"/>
        <v>0</v>
      </c>
    </row>
    <row r="105" spans="1:11">
      <c r="A105" s="4" t="s">
        <v>27</v>
      </c>
      <c r="B105" s="14">
        <f t="shared" si="16"/>
        <v>0.12307692307692308</v>
      </c>
      <c r="C105" s="15" t="s">
        <v>13</v>
      </c>
      <c r="D105" s="16">
        <v>0.13</v>
      </c>
      <c r="E105" s="16">
        <v>0</v>
      </c>
      <c r="F105" s="16">
        <v>0</v>
      </c>
      <c r="G105" s="16">
        <f>0.25/10</f>
        <v>2.5000000000000001E-2</v>
      </c>
      <c r="H105" s="14">
        <f t="shared" si="17"/>
        <v>0</v>
      </c>
      <c r="I105" s="17">
        <f t="shared" si="18"/>
        <v>7.6923076923076916</v>
      </c>
      <c r="J105" s="33"/>
      <c r="K105" s="17">
        <f t="shared" si="19"/>
        <v>0</v>
      </c>
    </row>
    <row r="106" spans="1:11">
      <c r="A106" s="4" t="s">
        <v>28</v>
      </c>
      <c r="B106" s="14">
        <f t="shared" si="16"/>
        <v>0.15970695970695969</v>
      </c>
      <c r="C106" s="15" t="s">
        <v>13</v>
      </c>
      <c r="D106" s="16">
        <v>0.04</v>
      </c>
      <c r="E106" s="16">
        <f>1/(3*28)</f>
        <v>1.1904761904761904E-2</v>
      </c>
      <c r="F106" s="16">
        <f>0</f>
        <v>0</v>
      </c>
      <c r="G106" s="16">
        <v>0.02</v>
      </c>
      <c r="H106" s="14">
        <f t="shared" si="17"/>
        <v>0</v>
      </c>
      <c r="I106" s="17">
        <f t="shared" si="18"/>
        <v>25</v>
      </c>
      <c r="J106" s="33"/>
      <c r="K106" s="17">
        <f t="shared" si="19"/>
        <v>0</v>
      </c>
    </row>
    <row r="107" spans="1:11">
      <c r="A107" s="4" t="s">
        <v>17</v>
      </c>
      <c r="B107" s="14">
        <f t="shared" si="16"/>
        <v>0.18021978021978022</v>
      </c>
      <c r="C107" s="15" t="s">
        <v>13</v>
      </c>
      <c r="D107" s="16">
        <f>7/123</f>
        <v>5.6910569105691054E-2</v>
      </c>
      <c r="E107" s="16">
        <f>1/123</f>
        <v>8.130081300813009E-3</v>
      </c>
      <c r="F107" s="16">
        <f>1/123</f>
        <v>8.130081300813009E-3</v>
      </c>
      <c r="G107" s="16">
        <f>8/123</f>
        <v>6.5040650406504072E-2</v>
      </c>
      <c r="H107" s="14">
        <f t="shared" si="17"/>
        <v>0.12500000000000003</v>
      </c>
      <c r="I107" s="17">
        <f t="shared" si="18"/>
        <v>17.571428571428573</v>
      </c>
      <c r="J107" s="33"/>
      <c r="K107" s="17">
        <f t="shared" si="19"/>
        <v>0</v>
      </c>
    </row>
    <row r="108" spans="1:11">
      <c r="A108" s="4" t="s">
        <v>43</v>
      </c>
      <c r="B108" s="14">
        <f t="shared" si="16"/>
        <v>0.14204425711275026</v>
      </c>
      <c r="C108" s="15" t="s">
        <v>13</v>
      </c>
      <c r="D108" s="16">
        <v>7.2999999999999995E-2</v>
      </c>
      <c r="E108" s="16">
        <v>8.9999999999999993E-3</v>
      </c>
      <c r="F108" s="16">
        <v>1E-3</v>
      </c>
      <c r="G108" s="16">
        <v>3.2000000000000001E-2</v>
      </c>
      <c r="H108" s="14">
        <f t="shared" si="17"/>
        <v>1.2195121951219514E-2</v>
      </c>
      <c r="I108" s="17">
        <f t="shared" si="18"/>
        <v>13.698630136986303</v>
      </c>
      <c r="J108" s="33"/>
      <c r="K108" s="17">
        <f t="shared" si="19"/>
        <v>0</v>
      </c>
    </row>
    <row r="109" spans="1:11">
      <c r="A109" s="4" t="s">
        <v>18</v>
      </c>
      <c r="B109" s="14">
        <f t="shared" si="16"/>
        <v>0.1372005044136192</v>
      </c>
      <c r="C109" s="15" t="s">
        <v>13</v>
      </c>
      <c r="D109" s="16">
        <f>6.1/100</f>
        <v>6.0999999999999999E-2</v>
      </c>
      <c r="E109" s="16">
        <v>7.0000000000000001E-3</v>
      </c>
      <c r="F109" s="16">
        <v>0</v>
      </c>
      <c r="G109" s="16">
        <f>0.1/7</f>
        <v>1.4285714285714287E-2</v>
      </c>
      <c r="H109" s="14">
        <f t="shared" si="17"/>
        <v>0</v>
      </c>
      <c r="I109" s="17">
        <f t="shared" si="18"/>
        <v>16.393442622950818</v>
      </c>
      <c r="J109" s="33"/>
      <c r="K109" s="17">
        <f t="shared" si="19"/>
        <v>0</v>
      </c>
    </row>
    <row r="110" spans="1:11">
      <c r="A110" s="4" t="s">
        <v>44</v>
      </c>
      <c r="B110" s="14">
        <f t="shared" si="16"/>
        <v>0.14040671971706453</v>
      </c>
      <c r="C110" s="15" t="s">
        <v>13</v>
      </c>
      <c r="D110" s="16">
        <f>(20.7-3.3)/100</f>
        <v>0.17399999999999999</v>
      </c>
      <c r="E110" s="16">
        <v>0.02</v>
      </c>
      <c r="F110" s="16">
        <v>2E-3</v>
      </c>
      <c r="G110" s="16">
        <v>3.3000000000000002E-2</v>
      </c>
      <c r="H110" s="14">
        <f t="shared" si="17"/>
        <v>1.0309278350515465E-2</v>
      </c>
      <c r="I110" s="17">
        <f t="shared" si="18"/>
        <v>5.7471264367816097</v>
      </c>
      <c r="J110" s="33"/>
      <c r="K110" s="17">
        <f t="shared" si="19"/>
        <v>0</v>
      </c>
    </row>
    <row r="111" spans="1:11">
      <c r="A111" s="4" t="s">
        <v>30</v>
      </c>
      <c r="B111" s="14">
        <f t="shared" si="16"/>
        <v>0.14008097165991903</v>
      </c>
      <c r="C111" s="15" t="s">
        <v>13</v>
      </c>
      <c r="D111" s="16">
        <f>(13.3-1.9)/100</f>
        <v>0.114</v>
      </c>
      <c r="E111" s="16">
        <v>8.9999999999999993E-3</v>
      </c>
      <c r="F111" s="16">
        <v>3.0000000000000001E-3</v>
      </c>
      <c r="G111" s="16">
        <v>1.9E-2</v>
      </c>
      <c r="H111" s="14">
        <f t="shared" si="17"/>
        <v>2.4390243902439025E-2</v>
      </c>
      <c r="I111" s="17">
        <f t="shared" si="18"/>
        <v>8.7719298245614024</v>
      </c>
      <c r="J111" s="33"/>
      <c r="K111" s="17">
        <f t="shared" si="19"/>
        <v>0</v>
      </c>
    </row>
    <row r="112" spans="1:11">
      <c r="A112" s="4" t="s">
        <v>31</v>
      </c>
      <c r="B112" s="14">
        <f t="shared" si="16"/>
        <v>0.43076923076923079</v>
      </c>
      <c r="C112" s="15" t="s">
        <v>13</v>
      </c>
      <c r="D112" s="16">
        <f>(13-10)/28</f>
        <v>0.10714285714285714</v>
      </c>
      <c r="E112" s="16">
        <f>3/28</f>
        <v>0.10714285714285714</v>
      </c>
      <c r="F112" s="16">
        <f>2/28</f>
        <v>7.1428571428571425E-2</v>
      </c>
      <c r="G112" s="16">
        <f>10/28</f>
        <v>0.35714285714285715</v>
      </c>
      <c r="H112" s="14">
        <f t="shared" si="17"/>
        <v>0.33333333333333331</v>
      </c>
      <c r="I112" s="17">
        <f t="shared" si="18"/>
        <v>9.3333333333333339</v>
      </c>
      <c r="J112" s="33"/>
      <c r="K112" s="17">
        <f t="shared" si="19"/>
        <v>0</v>
      </c>
    </row>
    <row r="113" spans="1:11">
      <c r="A113" s="4" t="s">
        <v>61</v>
      </c>
      <c r="B113" s="14">
        <f t="shared" si="16"/>
        <v>0.25846153846153846</v>
      </c>
      <c r="C113" s="15" t="s">
        <v>13</v>
      </c>
      <c r="D113" s="16">
        <f>5/62</f>
        <v>8.0645161290322578E-2</v>
      </c>
      <c r="E113" s="16">
        <f>1/62</f>
        <v>1.6129032258064516E-2</v>
      </c>
      <c r="F113" s="16">
        <f>2/62</f>
        <v>3.2258064516129031E-2</v>
      </c>
      <c r="G113" s="16">
        <f>1/62</f>
        <v>1.6129032258064516E-2</v>
      </c>
      <c r="H113" s="14">
        <f t="shared" si="17"/>
        <v>0.33333333333333331</v>
      </c>
      <c r="I113" s="17">
        <f t="shared" si="18"/>
        <v>12.4</v>
      </c>
      <c r="J113" s="33"/>
      <c r="K113" s="17">
        <f t="shared" si="19"/>
        <v>0</v>
      </c>
    </row>
    <row r="114" spans="1:11">
      <c r="A114" s="34" t="s">
        <v>65</v>
      </c>
      <c r="B114" s="2"/>
      <c r="C114" s="3"/>
      <c r="D114" s="20"/>
      <c r="E114" s="20"/>
      <c r="F114" s="20"/>
      <c r="G114" s="20"/>
      <c r="H114" s="21"/>
      <c r="I114" s="5"/>
      <c r="J114" s="38">
        <f>SUM(J86:J113)</f>
        <v>0</v>
      </c>
      <c r="K114" s="5"/>
    </row>
    <row r="115" spans="1:11">
      <c r="A115" s="36" t="s">
        <v>64</v>
      </c>
      <c r="B115" s="2"/>
      <c r="C115" s="3"/>
      <c r="D115" s="20"/>
      <c r="E115" s="20"/>
      <c r="F115" s="20"/>
      <c r="G115" s="20"/>
      <c r="H115" s="21"/>
      <c r="I115" s="5"/>
      <c r="J115" s="39">
        <f>J83+J114</f>
        <v>12</v>
      </c>
      <c r="K115" s="5"/>
    </row>
    <row r="116" spans="1:11">
      <c r="B116" s="2"/>
      <c r="C116" s="3"/>
      <c r="D116" s="20"/>
      <c r="E116" s="20"/>
      <c r="F116" s="20"/>
      <c r="G116" s="20"/>
      <c r="H116" s="2"/>
      <c r="I116" s="5"/>
      <c r="J116" s="5"/>
      <c r="K116" s="5"/>
    </row>
    <row r="117" spans="1:11">
      <c r="A117" s="4" t="s">
        <v>45</v>
      </c>
      <c r="B117" s="2"/>
      <c r="C117" s="3"/>
      <c r="D117" s="20"/>
      <c r="E117" s="20"/>
      <c r="F117" s="20"/>
      <c r="G117" s="20"/>
      <c r="H117" s="2"/>
      <c r="I117" s="5"/>
      <c r="J117" s="5"/>
      <c r="K117" s="5"/>
    </row>
    <row r="118" spans="1:11">
      <c r="A118" s="4" t="s">
        <v>12</v>
      </c>
      <c r="B118" s="14">
        <f t="shared" ref="B118:B126" si="24">(((((4*D118)+(4*E118))+(9*F118))/D118)*$B$4)/$B$3</f>
        <v>0.12307692307692308</v>
      </c>
      <c r="C118" s="15" t="s">
        <v>13</v>
      </c>
      <c r="D118" s="16">
        <f>1.25/10</f>
        <v>0.125</v>
      </c>
      <c r="E118" s="16">
        <v>0</v>
      </c>
      <c r="F118" s="16">
        <v>0</v>
      </c>
      <c r="G118" s="16">
        <f>0.25/10</f>
        <v>2.5000000000000001E-2</v>
      </c>
      <c r="H118" s="14">
        <f t="shared" ref="H118:H126" si="25">F118/(D118+E118)</f>
        <v>0</v>
      </c>
      <c r="I118" s="17">
        <f t="shared" ref="I118:I126" si="26">1/D118</f>
        <v>8</v>
      </c>
      <c r="J118" s="33"/>
      <c r="K118" s="17">
        <f t="shared" ref="K118:K126" si="27">I118*J118</f>
        <v>0</v>
      </c>
    </row>
    <row r="119" spans="1:11">
      <c r="A119" s="4" t="s">
        <v>25</v>
      </c>
      <c r="B119" s="14">
        <f t="shared" si="24"/>
        <v>1.8966555183946485</v>
      </c>
      <c r="C119" s="15" t="s">
        <v>13</v>
      </c>
      <c r="D119" s="16">
        <f>(21.6-12.4)/100</f>
        <v>9.2000000000000012E-2</v>
      </c>
      <c r="E119" s="16">
        <v>0.21199999999999999</v>
      </c>
      <c r="F119" s="16">
        <v>0.495</v>
      </c>
      <c r="G119" s="16">
        <v>0.124</v>
      </c>
      <c r="H119" s="14">
        <f t="shared" si="25"/>
        <v>1.6282894736842106</v>
      </c>
      <c r="I119" s="17">
        <f t="shared" si="26"/>
        <v>10.869565217391303</v>
      </c>
      <c r="J119" s="33"/>
      <c r="K119" s="17">
        <f t="shared" si="27"/>
        <v>0</v>
      </c>
    </row>
    <row r="120" spans="1:11">
      <c r="A120" s="4" t="s">
        <v>14</v>
      </c>
      <c r="B120" s="14">
        <f t="shared" si="24"/>
        <v>0.12938856015779093</v>
      </c>
      <c r="C120" s="15" t="s">
        <v>13</v>
      </c>
      <c r="D120" s="16">
        <f>(26.9-3.5)/118</f>
        <v>0.19830508474576269</v>
      </c>
      <c r="E120" s="16">
        <f>1.2/118</f>
        <v>1.0169491525423728E-2</v>
      </c>
      <c r="F120" s="16">
        <f>0</f>
        <v>0</v>
      </c>
      <c r="G120" s="16">
        <f>3.5/118</f>
        <v>2.9661016949152543E-2</v>
      </c>
      <c r="H120" s="14">
        <f t="shared" si="25"/>
        <v>0</v>
      </c>
      <c r="I120" s="17">
        <f t="shared" si="26"/>
        <v>5.0427350427350435</v>
      </c>
      <c r="J120" s="33"/>
      <c r="K120" s="17">
        <f t="shared" si="27"/>
        <v>0</v>
      </c>
    </row>
    <row r="121" spans="1:11">
      <c r="A121" s="4" t="s">
        <v>22</v>
      </c>
      <c r="B121" s="14">
        <f t="shared" si="24"/>
        <v>0.13333333333333336</v>
      </c>
      <c r="C121" s="15" t="s">
        <v>13</v>
      </c>
      <c r="D121" s="16">
        <v>0.12</v>
      </c>
      <c r="E121" s="16">
        <v>0.01</v>
      </c>
      <c r="F121" s="16">
        <v>0</v>
      </c>
      <c r="G121" s="16">
        <v>0.02</v>
      </c>
      <c r="H121" s="14">
        <f t="shared" si="25"/>
        <v>0</v>
      </c>
      <c r="I121" s="17">
        <f t="shared" si="26"/>
        <v>8.3333333333333339</v>
      </c>
      <c r="J121" s="33"/>
      <c r="K121" s="17">
        <f t="shared" si="27"/>
        <v>0</v>
      </c>
    </row>
    <row r="122" spans="1:11">
      <c r="A122" s="4" t="s">
        <v>26</v>
      </c>
      <c r="B122" s="14">
        <f t="shared" si="24"/>
        <v>0.6111934577050856</v>
      </c>
      <c r="C122" s="15" t="s">
        <v>13</v>
      </c>
      <c r="D122" s="16">
        <f>(32.9-2.8)/100</f>
        <v>0.30099999999999999</v>
      </c>
      <c r="E122" s="16">
        <f>15.2/100</f>
        <v>0.152</v>
      </c>
      <c r="F122" s="16">
        <f>46.3/100</f>
        <v>0.46299999999999997</v>
      </c>
      <c r="G122" s="16">
        <f>2.8/100</f>
        <v>2.7999999999999997E-2</v>
      </c>
      <c r="H122" s="14">
        <f t="shared" si="25"/>
        <v>1.0220750551876381</v>
      </c>
      <c r="I122" s="17">
        <f t="shared" si="26"/>
        <v>3.3222591362126246</v>
      </c>
      <c r="J122" s="33"/>
      <c r="K122" s="17">
        <f t="shared" si="27"/>
        <v>0</v>
      </c>
    </row>
    <row r="123" spans="1:11">
      <c r="A123" s="4" t="s">
        <v>49</v>
      </c>
      <c r="B123" s="14">
        <f t="shared" si="24"/>
        <v>1.1538461538461537</v>
      </c>
      <c r="C123" s="15" t="s">
        <v>13</v>
      </c>
      <c r="D123" s="16">
        <f>1/30</f>
        <v>3.3333333333333333E-2</v>
      </c>
      <c r="E123" s="16">
        <f>0.5/30</f>
        <v>1.6666666666666666E-2</v>
      </c>
      <c r="F123" s="16">
        <f>3.5/30</f>
        <v>0.11666666666666667</v>
      </c>
      <c r="G123" s="16">
        <f>0</f>
        <v>0</v>
      </c>
      <c r="H123" s="14">
        <f t="shared" si="25"/>
        <v>2.333333333333333</v>
      </c>
      <c r="I123" s="17">
        <f t="shared" si="26"/>
        <v>30</v>
      </c>
      <c r="J123" s="33"/>
      <c r="K123" s="17">
        <f t="shared" si="27"/>
        <v>0</v>
      </c>
    </row>
    <row r="124" spans="1:11">
      <c r="A124" s="4" t="s">
        <v>42</v>
      </c>
      <c r="B124" s="14">
        <f t="shared" si="24"/>
        <v>3.7948717948717952</v>
      </c>
      <c r="C124" s="15" t="s">
        <v>13</v>
      </c>
      <c r="D124" s="16">
        <v>0.06</v>
      </c>
      <c r="E124" s="16">
        <v>0.08</v>
      </c>
      <c r="F124" s="16">
        <v>0.76</v>
      </c>
      <c r="G124" s="16">
        <v>0.08</v>
      </c>
      <c r="H124" s="14">
        <f t="shared" si="25"/>
        <v>5.4285714285714279</v>
      </c>
      <c r="I124" s="17">
        <f t="shared" si="26"/>
        <v>16.666666666666668</v>
      </c>
      <c r="J124" s="33"/>
      <c r="K124" s="17">
        <f t="shared" si="27"/>
        <v>0</v>
      </c>
    </row>
    <row r="125" spans="1:11">
      <c r="A125" s="4" t="s">
        <v>62</v>
      </c>
      <c r="B125" s="14">
        <f t="shared" ref="B125" si="28">(((((4*D125)+(4*E125))+(9*F125))/D125)*$B$4)/$B$3</f>
        <v>0.16828290193219103</v>
      </c>
      <c r="C125" s="15" t="s">
        <v>13</v>
      </c>
      <c r="D125" s="16">
        <f>(77.9-14.6)/100</f>
        <v>0.63300000000000001</v>
      </c>
      <c r="E125" s="16">
        <v>0.129</v>
      </c>
      <c r="F125" s="16">
        <v>4.5999999999999999E-2</v>
      </c>
      <c r="G125" s="16">
        <v>0.14599999999999999</v>
      </c>
      <c r="H125" s="14">
        <f t="shared" ref="H125" si="29">F125/(D125+E125)</f>
        <v>6.0367454068241469E-2</v>
      </c>
      <c r="I125" s="17">
        <f t="shared" ref="I125" si="30">1/D125</f>
        <v>1.5797788309636651</v>
      </c>
      <c r="J125" s="33"/>
      <c r="K125" s="17">
        <f t="shared" ref="K125" si="31">I125*J125</f>
        <v>0</v>
      </c>
    </row>
    <row r="126" spans="1:11">
      <c r="A126" s="4" t="s">
        <v>17</v>
      </c>
      <c r="B126" s="14">
        <f t="shared" si="24"/>
        <v>0.18021978021978022</v>
      </c>
      <c r="C126" s="15" t="s">
        <v>13</v>
      </c>
      <c r="D126" s="16">
        <f>7/123</f>
        <v>5.6910569105691054E-2</v>
      </c>
      <c r="E126" s="16">
        <f>1/123</f>
        <v>8.130081300813009E-3</v>
      </c>
      <c r="F126" s="16">
        <f>1/123</f>
        <v>8.130081300813009E-3</v>
      </c>
      <c r="G126" s="16">
        <f>8/123</f>
        <v>6.5040650406504072E-2</v>
      </c>
      <c r="H126" s="14">
        <f t="shared" si="25"/>
        <v>0.12500000000000003</v>
      </c>
      <c r="I126" s="17">
        <f t="shared" si="26"/>
        <v>17.571428571428573</v>
      </c>
      <c r="J126" s="33"/>
      <c r="K126" s="17">
        <f t="shared" si="27"/>
        <v>0</v>
      </c>
    </row>
    <row r="127" spans="1:11">
      <c r="A127" s="4" t="s">
        <v>18</v>
      </c>
      <c r="B127" s="14">
        <f t="shared" ref="B127:B128" si="32">(((((4*D127)+(4*E127))+(9*F127))/D127)*$B$4)/$B$3</f>
        <v>0.1372005044136192</v>
      </c>
      <c r="C127" s="15" t="s">
        <v>13</v>
      </c>
      <c r="D127" s="16">
        <f>6.1/100</f>
        <v>6.0999999999999999E-2</v>
      </c>
      <c r="E127" s="16">
        <v>7.0000000000000001E-3</v>
      </c>
      <c r="F127" s="16">
        <v>0</v>
      </c>
      <c r="G127" s="16">
        <f>0.1/7</f>
        <v>1.4285714285714287E-2</v>
      </c>
      <c r="H127" s="14">
        <f t="shared" ref="H127:H128" si="33">F127/(D127+E127)</f>
        <v>0</v>
      </c>
      <c r="I127" s="17">
        <f t="shared" ref="I127:I128" si="34">1/D127</f>
        <v>16.393442622950818</v>
      </c>
      <c r="J127" s="33"/>
      <c r="K127" s="17">
        <f t="shared" ref="K127:K128" si="35">I127*J127</f>
        <v>0</v>
      </c>
    </row>
    <row r="128" spans="1:11">
      <c r="A128" s="4" t="s">
        <v>30</v>
      </c>
      <c r="B128" s="14">
        <f t="shared" si="32"/>
        <v>0.14008097165991903</v>
      </c>
      <c r="C128" s="15" t="s">
        <v>13</v>
      </c>
      <c r="D128" s="16">
        <f>(13.3-1.9)/100</f>
        <v>0.114</v>
      </c>
      <c r="E128" s="16">
        <v>8.9999999999999993E-3</v>
      </c>
      <c r="F128" s="16">
        <v>3.0000000000000001E-3</v>
      </c>
      <c r="G128" s="16">
        <v>1.9E-2</v>
      </c>
      <c r="H128" s="14">
        <f t="shared" si="33"/>
        <v>2.4390243902439025E-2</v>
      </c>
      <c r="I128" s="17">
        <f t="shared" si="34"/>
        <v>8.7719298245614024</v>
      </c>
      <c r="J128" s="33"/>
      <c r="K128" s="17">
        <f t="shared" si="35"/>
        <v>0</v>
      </c>
    </row>
    <row r="129" spans="1:11">
      <c r="A129" s="4" t="s">
        <v>19</v>
      </c>
      <c r="B129" s="14">
        <f t="shared" ref="B129" si="36">(((((4*D129)+(4*E129))+(9*F129))/D129)*$B$4)/$B$3</f>
        <v>3.0651583710407238</v>
      </c>
      <c r="C129" s="15" t="s">
        <v>13</v>
      </c>
      <c r="D129" s="16">
        <f>(13.6-6.8)/100</f>
        <v>6.8000000000000005E-2</v>
      </c>
      <c r="E129" s="16">
        <v>0.154</v>
      </c>
      <c r="F129" s="16">
        <v>0.65400000000000003</v>
      </c>
      <c r="G129" s="16">
        <v>6.8000000000000005E-2</v>
      </c>
      <c r="H129" s="14">
        <f t="shared" ref="H129" si="37">F129/(D129+E129)</f>
        <v>2.9459459459459461</v>
      </c>
      <c r="I129" s="17">
        <f t="shared" ref="I129" si="38">1/D129</f>
        <v>14.705882352941176</v>
      </c>
      <c r="J129" s="33"/>
      <c r="K129" s="17">
        <f t="shared" ref="K129" si="39">I129*J129</f>
        <v>0</v>
      </c>
    </row>
    <row r="130" spans="1:11">
      <c r="A130" s="34" t="s">
        <v>65</v>
      </c>
      <c r="B130" s="2"/>
      <c r="C130" s="3"/>
      <c r="H130" s="2"/>
      <c r="I130" s="5"/>
      <c r="J130" s="38">
        <f>SUM(J118:J129)</f>
        <v>0</v>
      </c>
      <c r="K130" s="5"/>
    </row>
    <row r="131" spans="1:11">
      <c r="A131" s="36" t="s">
        <v>64</v>
      </c>
      <c r="B131" s="2"/>
      <c r="C131" s="3"/>
      <c r="H131" s="2"/>
      <c r="I131" s="5"/>
      <c r="J131" s="39">
        <f>J115+J130</f>
        <v>12</v>
      </c>
      <c r="K131" s="5"/>
    </row>
  </sheetData>
  <mergeCells count="1">
    <mergeCell ref="C6:H6"/>
  </mergeCells>
  <conditionalFormatting sqref="B9:B19 B24:B32 B37:B61 B66 B86:B95 B118:B124 B126 B98:B113 B68:B81">
    <cfRule type="cellIs" dxfId="31" priority="37" stopIfTrue="1" operator="equal">
      <formula>"#DIV/0!\cexplicit"</formula>
    </cfRule>
    <cfRule type="cellIs" dxfId="30" priority="38" stopIfTrue="1" operator="greaterThan">
      <formula>2</formula>
    </cfRule>
    <cfRule type="cellIs" dxfId="29" priority="39" stopIfTrue="1" operator="between">
      <formula>0.5</formula>
      <formula>2</formula>
    </cfRule>
    <cfRule type="cellIs" dxfId="28" priority="40" stopIfTrue="1" operator="lessThan">
      <formula>0.5</formula>
    </cfRule>
  </conditionalFormatting>
  <conditionalFormatting sqref="B127">
    <cfRule type="cellIs" dxfId="27" priority="21" stopIfTrue="1" operator="equal">
      <formula>"#DIV/0!\cexplicit"</formula>
    </cfRule>
    <cfRule type="cellIs" dxfId="26" priority="22" stopIfTrue="1" operator="greaterThan">
      <formula>2</formula>
    </cfRule>
    <cfRule type="cellIs" dxfId="25" priority="23" stopIfTrue="1" operator="between">
      <formula>0.5</formula>
      <formula>2</formula>
    </cfRule>
    <cfRule type="cellIs" dxfId="24" priority="24" stopIfTrue="1" operator="lessThan">
      <formula>0.5</formula>
    </cfRule>
  </conditionalFormatting>
  <conditionalFormatting sqref="B125">
    <cfRule type="cellIs" dxfId="23" priority="25" stopIfTrue="1" operator="equal">
      <formula>"#DIV/0!\cexplicit"</formula>
    </cfRule>
    <cfRule type="cellIs" dxfId="22" priority="26" stopIfTrue="1" operator="greaterThan">
      <formula>2</formula>
    </cfRule>
    <cfRule type="cellIs" dxfId="21" priority="27" stopIfTrue="1" operator="between">
      <formula>0.5</formula>
      <formula>2</formula>
    </cfRule>
    <cfRule type="cellIs" dxfId="20" priority="28" stopIfTrue="1" operator="lessThan">
      <formula>0.5</formula>
    </cfRule>
  </conditionalFormatting>
  <conditionalFormatting sqref="B128">
    <cfRule type="cellIs" dxfId="19" priority="13" stopIfTrue="1" operator="equal">
      <formula>"#DIV/0!\cexplicit"</formula>
    </cfRule>
    <cfRule type="cellIs" dxfId="18" priority="14" stopIfTrue="1" operator="greaterThan">
      <formula>2</formula>
    </cfRule>
    <cfRule type="cellIs" dxfId="17" priority="15" stopIfTrue="1" operator="between">
      <formula>0.5</formula>
      <formula>2</formula>
    </cfRule>
    <cfRule type="cellIs" dxfId="16" priority="16" stopIfTrue="1" operator="lessThan">
      <formula>0.5</formula>
    </cfRule>
  </conditionalFormatting>
  <conditionalFormatting sqref="B129">
    <cfRule type="cellIs" dxfId="15" priority="17" stopIfTrue="1" operator="equal">
      <formula>"#DIV/0!\cexplicit"</formula>
    </cfRule>
    <cfRule type="cellIs" dxfId="14" priority="18" stopIfTrue="1" operator="greaterThan">
      <formula>2</formula>
    </cfRule>
    <cfRule type="cellIs" dxfId="13" priority="19" stopIfTrue="1" operator="between">
      <formula>0.5</formula>
      <formula>2</formula>
    </cfRule>
    <cfRule type="cellIs" dxfId="12" priority="20" stopIfTrue="1" operator="lessThan">
      <formula>0.5</formula>
    </cfRule>
  </conditionalFormatting>
  <conditionalFormatting sqref="B96">
    <cfRule type="cellIs" dxfId="11" priority="9" stopIfTrue="1" operator="equal">
      <formula>"#DIV/0!\cexplicit"</formula>
    </cfRule>
    <cfRule type="cellIs" dxfId="10" priority="10" stopIfTrue="1" operator="greaterThan">
      <formula>2</formula>
    </cfRule>
    <cfRule type="cellIs" dxfId="9" priority="11" stopIfTrue="1" operator="between">
      <formula>0.5</formula>
      <formula>2</formula>
    </cfRule>
    <cfRule type="cellIs" dxfId="8" priority="12" stopIfTrue="1" operator="lessThan">
      <formula>0.5</formula>
    </cfRule>
  </conditionalFormatting>
  <conditionalFormatting sqref="B97">
    <cfRule type="cellIs" dxfId="7" priority="5" stopIfTrue="1" operator="equal">
      <formula>"#DIV/0!\cexplicit"</formula>
    </cfRule>
    <cfRule type="cellIs" dxfId="6" priority="6" stopIfTrue="1" operator="greaterThan">
      <formula>2</formula>
    </cfRule>
    <cfRule type="cellIs" dxfId="5" priority="7" stopIfTrue="1" operator="between">
      <formula>0.5</formula>
      <formula>2</formula>
    </cfRule>
    <cfRule type="cellIs" dxfId="4" priority="8" stopIfTrue="1" operator="lessThan">
      <formula>0.5</formula>
    </cfRule>
  </conditionalFormatting>
  <conditionalFormatting sqref="B67">
    <cfRule type="cellIs" dxfId="3" priority="1" stopIfTrue="1" operator="equal">
      <formula>"#DIV/0!\cexplicit"</formula>
    </cfRule>
    <cfRule type="cellIs" dxfId="2" priority="2" stopIfTrue="1" operator="greaterThan">
      <formula>2</formula>
    </cfRule>
    <cfRule type="cellIs" dxfId="1" priority="3" stopIfTrue="1" operator="between">
      <formula>0.5</formula>
      <formula>2</formula>
    </cfRule>
    <cfRule type="cellIs" dxfId="0" priority="4" stopIfTrue="1" operator="lessThan">
      <formula>0.5</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A3" sqref="A3:S3"/>
    </sheetView>
  </sheetViews>
  <sheetFormatPr baseColWidth="10" defaultRowHeight="15" x14ac:dyDescent="0"/>
  <sheetData>
    <row r="1" spans="1:19" ht="87" customHeight="1">
      <c r="A1" s="32" t="s">
        <v>63</v>
      </c>
      <c r="B1" s="32"/>
      <c r="C1" s="32"/>
      <c r="D1" s="32"/>
      <c r="E1" s="32"/>
      <c r="F1" s="32"/>
      <c r="G1" s="32"/>
      <c r="H1" s="32"/>
      <c r="I1" s="32"/>
      <c r="J1" s="32"/>
      <c r="K1" s="32"/>
      <c r="L1" s="32"/>
      <c r="M1" s="32"/>
      <c r="N1" s="32"/>
      <c r="O1" s="32"/>
      <c r="P1" s="32"/>
      <c r="Q1" s="32"/>
      <c r="R1" s="32"/>
      <c r="S1" s="32"/>
    </row>
    <row r="2" spans="1:19" ht="128" customHeight="1">
      <c r="A2" s="32" t="s">
        <v>66</v>
      </c>
      <c r="B2" s="32"/>
      <c r="C2" s="32"/>
      <c r="D2" s="32"/>
      <c r="E2" s="32"/>
      <c r="F2" s="32"/>
      <c r="G2" s="32"/>
      <c r="H2" s="32"/>
      <c r="I2" s="32"/>
      <c r="J2" s="32"/>
      <c r="K2" s="32"/>
      <c r="L2" s="32"/>
      <c r="M2" s="32"/>
      <c r="N2" s="32"/>
      <c r="O2" s="32"/>
      <c r="P2" s="32"/>
      <c r="Q2" s="32"/>
      <c r="R2" s="32"/>
      <c r="S2" s="32"/>
    </row>
    <row r="3" spans="1:19" ht="339" customHeight="1">
      <c r="A3" s="31" t="s">
        <v>67</v>
      </c>
      <c r="B3" s="31"/>
      <c r="C3" s="31"/>
      <c r="D3" s="31"/>
      <c r="E3" s="31"/>
      <c r="F3" s="31"/>
      <c r="G3" s="31"/>
      <c r="H3" s="31"/>
      <c r="I3" s="31"/>
      <c r="J3" s="31"/>
      <c r="K3" s="31"/>
      <c r="L3" s="31"/>
      <c r="M3" s="31"/>
      <c r="N3" s="31"/>
      <c r="O3" s="31"/>
      <c r="P3" s="31"/>
      <c r="Q3" s="31"/>
      <c r="R3" s="31"/>
      <c r="S3" s="31"/>
    </row>
    <row r="4" spans="1:19" ht="262" customHeight="1">
      <c r="A4" s="32" t="s">
        <v>68</v>
      </c>
      <c r="B4" s="32"/>
      <c r="C4" s="32"/>
      <c r="D4" s="32"/>
      <c r="E4" s="32"/>
      <c r="F4" s="32"/>
      <c r="G4" s="32"/>
      <c r="H4" s="32"/>
      <c r="I4" s="32"/>
      <c r="J4" s="32"/>
      <c r="K4" s="32"/>
      <c r="L4" s="32"/>
      <c r="M4" s="32"/>
      <c r="N4" s="32"/>
      <c r="O4" s="32"/>
      <c r="P4" s="32"/>
      <c r="Q4" s="32"/>
      <c r="R4" s="32"/>
      <c r="S4" s="32"/>
    </row>
  </sheetData>
  <mergeCells count="4">
    <mergeCell ref="A3:S3"/>
    <mergeCell ref="A4:S4"/>
    <mergeCell ref="A1:S1"/>
    <mergeCell ref="A2:S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MAIN</vt:lpstr>
      <vt:lpstr>INSTRUCTIONS</vt:lpstr>
    </vt:vector>
  </TitlesOfParts>
  <Company>Oregon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Brekken</dc:creator>
  <cp:lastModifiedBy>Ted Brekken</cp:lastModifiedBy>
  <dcterms:created xsi:type="dcterms:W3CDTF">2015-03-06T00:33:56Z</dcterms:created>
  <dcterms:modified xsi:type="dcterms:W3CDTF">2015-03-06T05:39:24Z</dcterms:modified>
</cp:coreProperties>
</file>